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3945" windowWidth="14805" windowHeight="4185"/>
  </bookViews>
  <sheets>
    <sheet name="ФСГС" sheetId="8" r:id="rId1"/>
  </sheets>
  <definedNames>
    <definedName name="_xlnm.Print_Titles" localSheetId="0">ФСГС!$16:$16</definedName>
    <definedName name="_xlnm.Print_Area" localSheetId="0">ФСГС!$A$1:$AB$546</definedName>
  </definedNames>
  <calcPr calcId="152511"/>
</workbook>
</file>

<file path=xl/calcChain.xml><?xml version="1.0" encoding="utf-8"?>
<calcChain xmlns="http://schemas.openxmlformats.org/spreadsheetml/2006/main">
  <c r="U387" i="8" l="1"/>
  <c r="U297" i="8"/>
  <c r="U257" i="8"/>
  <c r="U212" i="8"/>
  <c r="U133" i="8" l="1"/>
  <c r="U131" i="8"/>
  <c r="AA40" i="8"/>
  <c r="AA135" i="8"/>
  <c r="AA125" i="8"/>
  <c r="U204" i="8" l="1"/>
  <c r="W27" i="8" l="1"/>
  <c r="X27" i="8"/>
  <c r="Y27" i="8"/>
  <c r="Z27" i="8"/>
  <c r="V27" i="8"/>
  <c r="U27" i="8"/>
  <c r="U145" i="8"/>
  <c r="U143" i="8"/>
  <c r="U107" i="8"/>
  <c r="U71" i="8"/>
  <c r="U533" i="8"/>
  <c r="U124" i="8"/>
  <c r="U388" i="8"/>
  <c r="U521" i="8"/>
  <c r="U487" i="8"/>
  <c r="U192" i="8"/>
  <c r="U193" i="8"/>
  <c r="U94" i="8"/>
  <c r="U65" i="8"/>
  <c r="U517" i="8"/>
  <c r="U483" i="8"/>
  <c r="U178" i="8"/>
  <c r="U177" i="8"/>
  <c r="U179" i="8"/>
  <c r="U86" i="8"/>
  <c r="U73" i="8"/>
  <c r="U60" i="8"/>
  <c r="U299" i="8" l="1"/>
  <c r="U298" i="8"/>
  <c r="U519" i="8"/>
  <c r="U485" i="8"/>
  <c r="U185" i="8"/>
  <c r="U186" i="8"/>
  <c r="U109" i="8"/>
  <c r="U76" i="8"/>
  <c r="U62" i="8"/>
  <c r="U213" i="8"/>
  <c r="U172" i="8"/>
  <c r="U171" i="8"/>
  <c r="U69" i="8"/>
  <c r="U58" i="8"/>
  <c r="U98" i="8" l="1"/>
  <c r="U100" i="8" l="1"/>
  <c r="U113" i="8"/>
  <c r="U457" i="8"/>
  <c r="U539" i="8"/>
  <c r="W129" i="8" l="1"/>
  <c r="X129" i="8"/>
  <c r="Y129" i="8"/>
  <c r="Z129" i="8"/>
  <c r="V129" i="8"/>
  <c r="AA534" i="8" l="1"/>
  <c r="W531" i="8" l="1"/>
  <c r="X495" i="8" l="1"/>
  <c r="X497" i="8"/>
  <c r="X498" i="8"/>
  <c r="X500" i="8"/>
  <c r="X501" i="8"/>
  <c r="X492" i="8" s="1"/>
  <c r="X503" i="8"/>
  <c r="X504" i="8"/>
  <c r="AA122" i="8"/>
  <c r="W29" i="8"/>
  <c r="X29" i="8"/>
  <c r="Y29" i="8"/>
  <c r="Z29" i="8"/>
  <c r="U116" i="8" l="1"/>
  <c r="U132" i="8"/>
  <c r="U129" i="8" l="1"/>
  <c r="AA72" i="8" l="1"/>
  <c r="AA73" i="8"/>
  <c r="AA74" i="8"/>
  <c r="V126" i="8" l="1"/>
  <c r="W126" i="8"/>
  <c r="X126" i="8"/>
  <c r="Y126" i="8"/>
  <c r="Z126" i="8"/>
  <c r="U126" i="8" l="1"/>
  <c r="U482" i="8"/>
  <c r="U106" i="8"/>
  <c r="U82" i="8" l="1"/>
  <c r="U481" i="8"/>
  <c r="U191" i="8"/>
  <c r="U184" i="8"/>
  <c r="U90" i="8"/>
  <c r="U170" i="8"/>
  <c r="U105" i="8"/>
  <c r="AA530" i="8" l="1"/>
  <c r="AA529" i="8"/>
  <c r="U206" i="8" l="1"/>
  <c r="U462" i="8"/>
  <c r="U461" i="8"/>
  <c r="U472" i="8"/>
  <c r="U469" i="8"/>
  <c r="U466" i="8"/>
  <c r="U463" i="8"/>
  <c r="U136" i="8"/>
  <c r="AA132" i="8" l="1"/>
  <c r="U198" i="8" l="1"/>
  <c r="U199" i="8"/>
  <c r="U165" i="8"/>
  <c r="U190" i="8"/>
  <c r="AA191" i="8"/>
  <c r="V190" i="8"/>
  <c r="W190" i="8"/>
  <c r="X190" i="8"/>
  <c r="Y190" i="8"/>
  <c r="Z190" i="8"/>
  <c r="V183" i="8"/>
  <c r="W183" i="8"/>
  <c r="X183" i="8"/>
  <c r="Y183" i="8"/>
  <c r="Z183" i="8"/>
  <c r="U183" i="8"/>
  <c r="AA184" i="8"/>
  <c r="V176" i="8"/>
  <c r="W176" i="8"/>
  <c r="X176" i="8"/>
  <c r="Y176" i="8"/>
  <c r="Z176" i="8"/>
  <c r="U176" i="8"/>
  <c r="T177" i="8"/>
  <c r="AA177" i="8" s="1"/>
  <c r="V169" i="8"/>
  <c r="W169" i="8"/>
  <c r="X169" i="8"/>
  <c r="Y169" i="8"/>
  <c r="Z169" i="8"/>
  <c r="AA170" i="8"/>
  <c r="AA171" i="8"/>
  <c r="AA172" i="8"/>
  <c r="Z26" i="8"/>
  <c r="Y26" i="8"/>
  <c r="X26" i="8"/>
  <c r="W26" i="8"/>
  <c r="U26" i="8"/>
  <c r="V26" i="8"/>
  <c r="AA130" i="8"/>
  <c r="AA131" i="8"/>
  <c r="U207" i="8"/>
  <c r="U383" i="8"/>
  <c r="AA388" i="8"/>
  <c r="AA387" i="8"/>
  <c r="AA297" i="8"/>
  <c r="AA257" i="8"/>
  <c r="U292" i="8"/>
  <c r="AA299" i="8"/>
  <c r="AA298" i="8"/>
  <c r="U252" i="8"/>
  <c r="V252" i="8"/>
  <c r="W252" i="8"/>
  <c r="X252" i="8"/>
  <c r="Y252" i="8"/>
  <c r="Z252" i="8"/>
  <c r="U169" i="8" l="1"/>
  <c r="AA258" i="8"/>
  <c r="AA212" i="8"/>
  <c r="AA213" i="8"/>
  <c r="AA210" i="8"/>
  <c r="U208" i="8"/>
  <c r="U205" i="8" s="1"/>
  <c r="V208" i="8"/>
  <c r="W208" i="8"/>
  <c r="X208" i="8"/>
  <c r="Y208" i="8"/>
  <c r="Z208" i="8"/>
  <c r="U127" i="8" l="1"/>
  <c r="U111" i="8" l="1"/>
  <c r="U493" i="8" l="1"/>
  <c r="U167" i="8"/>
  <c r="U140" i="8" s="1"/>
  <c r="V167" i="8" l="1"/>
  <c r="W167" i="8"/>
  <c r="X167" i="8"/>
  <c r="Y167" i="8"/>
  <c r="Z167" i="8"/>
  <c r="V165" i="8"/>
  <c r="W165" i="8"/>
  <c r="X165" i="8"/>
  <c r="Y165" i="8"/>
  <c r="Z165" i="8"/>
  <c r="AA27" i="8"/>
  <c r="AA26" i="8"/>
  <c r="X479" i="8"/>
  <c r="U168" i="8" l="1"/>
  <c r="AA168" i="8" s="1"/>
  <c r="AA189" i="8"/>
  <c r="AA188" i="8"/>
  <c r="AA187" i="8"/>
  <c r="AA182" i="8"/>
  <c r="AA175" i="8"/>
  <c r="AA195" i="8"/>
  <c r="AA196" i="8"/>
  <c r="AA194" i="8"/>
  <c r="AA511" i="8"/>
  <c r="AA533" i="8" l="1"/>
  <c r="AA496" i="8"/>
  <c r="AA128" i="8"/>
  <c r="AA115" i="8"/>
  <c r="AA99" i="8"/>
  <c r="AA97" i="8"/>
  <c r="AA95" i="8"/>
  <c r="AA93" i="8"/>
  <c r="AA91" i="8"/>
  <c r="AA89" i="8"/>
  <c r="AA87" i="8"/>
  <c r="AA85" i="8"/>
  <c r="AA83" i="8"/>
  <c r="AA108" i="8"/>
  <c r="AA112" i="8"/>
  <c r="AA110" i="8"/>
  <c r="AA134" i="8"/>
  <c r="AA49" i="8"/>
  <c r="Y32" i="8"/>
  <c r="Y28" i="8" s="1"/>
  <c r="Z32" i="8"/>
  <c r="Z28" i="8" s="1"/>
  <c r="Z104" i="8"/>
  <c r="Z103" i="8"/>
  <c r="Z81" i="8"/>
  <c r="Z38" i="8" s="1"/>
  <c r="Z80" i="8"/>
  <c r="Z79" i="8"/>
  <c r="Z78" i="8"/>
  <c r="Z68" i="8"/>
  <c r="Z37" i="8" s="1"/>
  <c r="Z67" i="8"/>
  <c r="Z57" i="8"/>
  <c r="Z36" i="8" s="1"/>
  <c r="Z56" i="8"/>
  <c r="Z50" i="8"/>
  <c r="Z41" i="8"/>
  <c r="Z35" i="8"/>
  <c r="Z33" i="8"/>
  <c r="Z30" i="8"/>
  <c r="AA123" i="8"/>
  <c r="AA120" i="8"/>
  <c r="AA121" i="8"/>
  <c r="AA119" i="8"/>
  <c r="Z127" i="8"/>
  <c r="AA179" i="8"/>
  <c r="AA193" i="8"/>
  <c r="AA186" i="8"/>
  <c r="AA472" i="8"/>
  <c r="AA466" i="8"/>
  <c r="AA463" i="8"/>
  <c r="AA490" i="8"/>
  <c r="AA489" i="8"/>
  <c r="AA488" i="8"/>
  <c r="AA486" i="8"/>
  <c r="AA484" i="8"/>
  <c r="AA482" i="8"/>
  <c r="Z480" i="8"/>
  <c r="Z476" i="8" s="1"/>
  <c r="Z479" i="8"/>
  <c r="Z206" i="8"/>
  <c r="Y460" i="8"/>
  <c r="AA474" i="8"/>
  <c r="AA473" i="8"/>
  <c r="AA471" i="8"/>
  <c r="AA470" i="8"/>
  <c r="AA469" i="8"/>
  <c r="AA468" i="8"/>
  <c r="AA467" i="8"/>
  <c r="AA465" i="8"/>
  <c r="AA464" i="8"/>
  <c r="AA459" i="8"/>
  <c r="AA458" i="8"/>
  <c r="Z462" i="8"/>
  <c r="Z461" i="8"/>
  <c r="Z147" i="8" s="1"/>
  <c r="Z460" i="8"/>
  <c r="Y462" i="8"/>
  <c r="Y461" i="8"/>
  <c r="Y147" i="8" s="1"/>
  <c r="Z148" i="8"/>
  <c r="Z149" i="8"/>
  <c r="AA159" i="8"/>
  <c r="AA161" i="8"/>
  <c r="AA181" i="8"/>
  <c r="AA180" i="8"/>
  <c r="AA174" i="8"/>
  <c r="AA173" i="8"/>
  <c r="Z164" i="8"/>
  <c r="Z163" i="8"/>
  <c r="AA198" i="8"/>
  <c r="AA202" i="8"/>
  <c r="AA201" i="8"/>
  <c r="Z197" i="8"/>
  <c r="AA512" i="8"/>
  <c r="AA509" i="8"/>
  <c r="AA510" i="8"/>
  <c r="AA507" i="8"/>
  <c r="AA502" i="8"/>
  <c r="AA499" i="8"/>
  <c r="AA505" i="8"/>
  <c r="Z504" i="8"/>
  <c r="Z503" i="8"/>
  <c r="Z501" i="8"/>
  <c r="Z500" i="8"/>
  <c r="Z498" i="8"/>
  <c r="Z497" i="8"/>
  <c r="Z495" i="8"/>
  <c r="Z494" i="8"/>
  <c r="Z493" i="8"/>
  <c r="Z477" i="8" s="1"/>
  <c r="U504" i="8"/>
  <c r="U501" i="8"/>
  <c r="U498" i="8"/>
  <c r="U495" i="8"/>
  <c r="U508" i="8" l="1"/>
  <c r="AA508" i="8" s="1"/>
  <c r="Z162" i="8"/>
  <c r="Z139" i="8" s="1"/>
  <c r="Z141" i="8"/>
  <c r="Z140" i="8"/>
  <c r="Z492" i="8"/>
  <c r="AA528" i="8"/>
  <c r="AA526" i="8"/>
  <c r="AA523" i="8"/>
  <c r="AA525" i="8"/>
  <c r="Z514" i="8"/>
  <c r="Z478" i="8" s="1"/>
  <c r="AA516" i="8"/>
  <c r="AA518" i="8"/>
  <c r="AA520" i="8"/>
  <c r="AA522" i="8"/>
  <c r="Z513" i="8"/>
  <c r="AA536" i="8"/>
  <c r="AA537" i="8"/>
  <c r="AA538" i="8"/>
  <c r="AA535" i="8"/>
  <c r="Z531" i="8"/>
  <c r="Z532" i="8"/>
  <c r="AA133" i="8"/>
  <c r="U492" i="8" l="1"/>
  <c r="Z475" i="8"/>
  <c r="AA129" i="8"/>
  <c r="Z31" i="8"/>
  <c r="AA192" i="8"/>
  <c r="AA185" i="8"/>
  <c r="AA178" i="8"/>
  <c r="Z17" i="8" l="1"/>
  <c r="X480" i="8"/>
  <c r="U479" i="8"/>
  <c r="V479" i="8"/>
  <c r="W479" i="8"/>
  <c r="Y479" i="8"/>
  <c r="U480" i="8"/>
  <c r="V480" i="8"/>
  <c r="W480" i="8"/>
  <c r="Y480" i="8"/>
  <c r="T480" i="8"/>
  <c r="AA480" i="8" l="1"/>
  <c r="T65" i="8" l="1"/>
  <c r="AA65" i="8" s="1"/>
  <c r="W504" i="8" l="1"/>
  <c r="V504" i="8"/>
  <c r="W501" i="8"/>
  <c r="V501" i="8"/>
  <c r="W498" i="8"/>
  <c r="V498" i="8"/>
  <c r="W495" i="8"/>
  <c r="V495" i="8"/>
  <c r="U81" i="8" l="1"/>
  <c r="U38" i="8" s="1"/>
  <c r="AA137" i="8"/>
  <c r="AA138" i="8"/>
  <c r="AA136" i="8"/>
  <c r="U542" i="8" l="1"/>
  <c r="T100" i="8" l="1"/>
  <c r="AA100" i="8" s="1"/>
  <c r="T45" i="8"/>
  <c r="T142" i="8" l="1"/>
  <c r="T206" i="8" l="1"/>
  <c r="T145" i="8" l="1"/>
  <c r="X127" i="8" l="1"/>
  <c r="T26" i="8"/>
  <c r="T143" i="8" l="1"/>
  <c r="T27" i="8" l="1"/>
  <c r="T204" i="8" l="1"/>
  <c r="AA204" i="8" s="1"/>
  <c r="T98" i="8" l="1"/>
  <c r="AA98" i="8" s="1"/>
  <c r="T199" i="8"/>
  <c r="AA199" i="8" s="1"/>
  <c r="T200" i="8"/>
  <c r="AA200" i="8" s="1"/>
  <c r="T44" i="8"/>
  <c r="T116" i="8"/>
  <c r="AA116" i="8" s="1"/>
  <c r="T113" i="8"/>
  <c r="AA113" i="8" s="1"/>
  <c r="T521" i="8"/>
  <c r="AA521" i="8" s="1"/>
  <c r="T487" i="8"/>
  <c r="AA487" i="8" s="1"/>
  <c r="T156" i="8"/>
  <c r="T111" i="8"/>
  <c r="AA111" i="8" s="1"/>
  <c r="T94" i="8"/>
  <c r="AA94" i="8" s="1"/>
  <c r="T107" i="8"/>
  <c r="AA107" i="8" s="1"/>
  <c r="T90" i="8"/>
  <c r="AA90" i="8" s="1"/>
  <c r="T86" i="8"/>
  <c r="AA86" i="8" s="1"/>
  <c r="T60" i="8"/>
  <c r="AA60" i="8" s="1"/>
  <c r="T485" i="8"/>
  <c r="AA485" i="8" s="1"/>
  <c r="T76" i="8"/>
  <c r="AA76" i="8" s="1"/>
  <c r="T62" i="8"/>
  <c r="AA62" i="8" s="1"/>
  <c r="T515" i="8"/>
  <c r="AA515" i="8" s="1"/>
  <c r="T481" i="8"/>
  <c r="AA481" i="8" s="1"/>
  <c r="T105" i="8"/>
  <c r="AA105" i="8" s="1"/>
  <c r="T82" i="8"/>
  <c r="AA82" i="8" s="1"/>
  <c r="T69" i="8"/>
  <c r="AA69" i="8" s="1"/>
  <c r="AA101" i="8" l="1"/>
  <c r="T207" i="8" l="1"/>
  <c r="AA207" i="8" s="1"/>
  <c r="AA543" i="8" l="1"/>
  <c r="U30" i="8" l="1"/>
  <c r="V30" i="8"/>
  <c r="W30" i="8"/>
  <c r="X30" i="8"/>
  <c r="Y30" i="8"/>
  <c r="T30" i="8"/>
  <c r="U29" i="8"/>
  <c r="V29" i="8"/>
  <c r="T29" i="8"/>
  <c r="U149" i="8" l="1"/>
  <c r="V149" i="8"/>
  <c r="W149" i="8"/>
  <c r="X149" i="8"/>
  <c r="Y149" i="8"/>
  <c r="T149" i="8"/>
  <c r="AA149" i="8" s="1"/>
  <c r="U460" i="8"/>
  <c r="V460" i="8"/>
  <c r="W460" i="8"/>
  <c r="X460" i="8"/>
  <c r="T460" i="8"/>
  <c r="V462" i="8"/>
  <c r="W462" i="8"/>
  <c r="X462" i="8"/>
  <c r="T462" i="8"/>
  <c r="V461" i="8"/>
  <c r="V147" i="8" s="1"/>
  <c r="W461" i="8"/>
  <c r="W147" i="8" s="1"/>
  <c r="X461" i="8"/>
  <c r="X147" i="8" s="1"/>
  <c r="T461" i="8"/>
  <c r="U33" i="8"/>
  <c r="V33" i="8"/>
  <c r="W33" i="8"/>
  <c r="X33" i="8"/>
  <c r="T33" i="8"/>
  <c r="U32" i="8"/>
  <c r="U28" i="8" s="1"/>
  <c r="V32" i="8"/>
  <c r="V28" i="8" s="1"/>
  <c r="W32" i="8"/>
  <c r="W28" i="8" s="1"/>
  <c r="X32" i="8"/>
  <c r="X28" i="8" s="1"/>
  <c r="T32" i="8"/>
  <c r="T28" i="8" s="1"/>
  <c r="AA47" i="8"/>
  <c r="AA46" i="8"/>
  <c r="AA28" i="8" l="1"/>
  <c r="AA32" i="8"/>
  <c r="AA460" i="8"/>
  <c r="AA461" i="8"/>
  <c r="AA462" i="8"/>
  <c r="AA147" i="8"/>
  <c r="Y81" i="8" l="1"/>
  <c r="Y38" i="8" s="1"/>
  <c r="T81" i="8"/>
  <c r="X81" i="8"/>
  <c r="X38" i="8" s="1"/>
  <c r="W81" i="8"/>
  <c r="W38" i="8" s="1"/>
  <c r="U531" i="8"/>
  <c r="V531" i="8"/>
  <c r="Y531" i="8"/>
  <c r="T531" i="8"/>
  <c r="AA531" i="8" l="1"/>
  <c r="T38" i="8"/>
  <c r="V81" i="8"/>
  <c r="V38" i="8" s="1"/>
  <c r="AA542" i="8"/>
  <c r="T190" i="8"/>
  <c r="T183" i="8"/>
  <c r="T176" i="8"/>
  <c r="T169" i="8"/>
  <c r="AA169" i="8" s="1"/>
  <c r="U78" i="8"/>
  <c r="AA38" i="8" l="1"/>
  <c r="AA190" i="8"/>
  <c r="AA81" i="8"/>
  <c r="AA176" i="8"/>
  <c r="AA183" i="8"/>
  <c r="AA157" i="8"/>
  <c r="AA155" i="8"/>
  <c r="AA153" i="8"/>
  <c r="AA151" i="8"/>
  <c r="T165" i="8"/>
  <c r="T106" i="8"/>
  <c r="T58" i="8"/>
  <c r="AA58" i="8" s="1"/>
  <c r="AA156" i="8"/>
  <c r="T517" i="8"/>
  <c r="AA517" i="8" s="1"/>
  <c r="T519" i="8"/>
  <c r="AA519" i="8" s="1"/>
  <c r="T483" i="8"/>
  <c r="AA483" i="8" s="1"/>
  <c r="T457" i="8"/>
  <c r="AA457" i="8" s="1"/>
  <c r="T109" i="8"/>
  <c r="AA109" i="8" s="1"/>
  <c r="T71" i="8"/>
  <c r="AA71" i="8" s="1"/>
  <c r="AA44" i="8"/>
  <c r="T127" i="8"/>
  <c r="T152" i="8"/>
  <c r="AA152" i="8" s="1"/>
  <c r="V206" i="8"/>
  <c r="W206" i="8"/>
  <c r="X206" i="8"/>
  <c r="Y206" i="8"/>
  <c r="AA539" i="8"/>
  <c r="Y532" i="8"/>
  <c r="X532" i="8"/>
  <c r="W532" i="8"/>
  <c r="V532" i="8"/>
  <c r="U532" i="8"/>
  <c r="T532" i="8"/>
  <c r="AA532" i="8"/>
  <c r="AA527" i="8"/>
  <c r="Y514" i="8"/>
  <c r="Y478" i="8" s="1"/>
  <c r="X514" i="8"/>
  <c r="X478" i="8" s="1"/>
  <c r="W514" i="8"/>
  <c r="W478" i="8" s="1"/>
  <c r="V514" i="8"/>
  <c r="V478" i="8" s="1"/>
  <c r="U514" i="8"/>
  <c r="U478" i="8" s="1"/>
  <c r="Y513" i="8"/>
  <c r="X513" i="8"/>
  <c r="W513" i="8"/>
  <c r="V513" i="8"/>
  <c r="U513" i="8"/>
  <c r="U475" i="8" s="1"/>
  <c r="AA506" i="8"/>
  <c r="Y504" i="8"/>
  <c r="T504" i="8"/>
  <c r="Y503" i="8"/>
  <c r="W503" i="8"/>
  <c r="V503" i="8"/>
  <c r="U503" i="8"/>
  <c r="T503" i="8"/>
  <c r="Y501" i="8"/>
  <c r="T501" i="8"/>
  <c r="Y500" i="8"/>
  <c r="W500" i="8"/>
  <c r="V500" i="8"/>
  <c r="U500" i="8"/>
  <c r="T500" i="8"/>
  <c r="Y498" i="8"/>
  <c r="T498" i="8"/>
  <c r="Y497" i="8"/>
  <c r="W497" i="8"/>
  <c r="V497" i="8"/>
  <c r="U497" i="8"/>
  <c r="T497" i="8"/>
  <c r="Y495" i="8"/>
  <c r="T495" i="8"/>
  <c r="Y494" i="8"/>
  <c r="X494" i="8"/>
  <c r="W494" i="8"/>
  <c r="V494" i="8"/>
  <c r="U494" i="8"/>
  <c r="T494" i="8"/>
  <c r="Y493" i="8"/>
  <c r="Y477" i="8" s="1"/>
  <c r="X493" i="8"/>
  <c r="X477" i="8" s="1"/>
  <c r="W493" i="8"/>
  <c r="W477" i="8" s="1"/>
  <c r="V493" i="8"/>
  <c r="V477" i="8" s="1"/>
  <c r="U477" i="8"/>
  <c r="T493" i="8"/>
  <c r="Y476" i="8"/>
  <c r="X476" i="8"/>
  <c r="W476" i="8"/>
  <c r="V476" i="8"/>
  <c r="U476" i="8"/>
  <c r="AA456" i="8"/>
  <c r="AA455" i="8"/>
  <c r="AA454" i="8"/>
  <c r="AA453" i="8"/>
  <c r="AA452" i="8"/>
  <c r="T451" i="8"/>
  <c r="AA451" i="8" s="1"/>
  <c r="AA450" i="8"/>
  <c r="AA449" i="8"/>
  <c r="AA448" i="8"/>
  <c r="AA447" i="8"/>
  <c r="AA446" i="8"/>
  <c r="T445" i="8"/>
  <c r="AA445" i="8" s="1"/>
  <c r="AA444" i="8"/>
  <c r="AA443" i="8"/>
  <c r="AA442" i="8"/>
  <c r="AA441" i="8"/>
  <c r="AA440" i="8"/>
  <c r="T439" i="8"/>
  <c r="AA439" i="8" s="1"/>
  <c r="AA438" i="8"/>
  <c r="AA437" i="8"/>
  <c r="AA436" i="8"/>
  <c r="AA435" i="8"/>
  <c r="AA434" i="8"/>
  <c r="T433" i="8"/>
  <c r="AA433" i="8" s="1"/>
  <c r="AA432" i="8"/>
  <c r="AA431" i="8"/>
  <c r="AA430" i="8"/>
  <c r="AA429" i="8"/>
  <c r="AA428" i="8"/>
  <c r="T427" i="8"/>
  <c r="AA427" i="8" s="1"/>
  <c r="AA426" i="8"/>
  <c r="AA425" i="8"/>
  <c r="AA424" i="8"/>
  <c r="AA423" i="8"/>
  <c r="T422" i="8"/>
  <c r="AA422" i="8" s="1"/>
  <c r="AA421" i="8"/>
  <c r="AA420" i="8"/>
  <c r="AA419" i="8"/>
  <c r="AA418" i="8"/>
  <c r="AA417" i="8"/>
  <c r="T416" i="8"/>
  <c r="AA416" i="8" s="1"/>
  <c r="AA415" i="8"/>
  <c r="AA414" i="8"/>
  <c r="AA413" i="8"/>
  <c r="AA412" i="8"/>
  <c r="AA411" i="8"/>
  <c r="T410" i="8"/>
  <c r="AA410" i="8" s="1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T392" i="8"/>
  <c r="AA392" i="8" s="1"/>
  <c r="AA391" i="8"/>
  <c r="AA390" i="8"/>
  <c r="AA389" i="8"/>
  <c r="AA386" i="8"/>
  <c r="T385" i="8"/>
  <c r="AA385" i="8" s="1"/>
  <c r="T384" i="8"/>
  <c r="AA384" i="8" s="1"/>
  <c r="AA382" i="8"/>
  <c r="AA381" i="8"/>
  <c r="AA380" i="8"/>
  <c r="AA379" i="8"/>
  <c r="AA378" i="8"/>
  <c r="AA377" i="8"/>
  <c r="T376" i="8"/>
  <c r="AA376" i="8" s="1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AA330" i="8"/>
  <c r="T329" i="8"/>
  <c r="AA329" i="8" s="1"/>
  <c r="AA328" i="8"/>
  <c r="AA327" i="8"/>
  <c r="AA326" i="8"/>
  <c r="AA325" i="8"/>
  <c r="AA324" i="8"/>
  <c r="AA323" i="8"/>
  <c r="T322" i="8"/>
  <c r="AA322" i="8" s="1"/>
  <c r="AA321" i="8"/>
  <c r="AA320" i="8"/>
  <c r="AA319" i="8"/>
  <c r="AA318" i="8"/>
  <c r="AA317" i="8"/>
  <c r="AA316" i="8"/>
  <c r="T315" i="8"/>
  <c r="AA315" i="8" s="1"/>
  <c r="AA314" i="8"/>
  <c r="AA313" i="8"/>
  <c r="AA312" i="8"/>
  <c r="AA311" i="8"/>
  <c r="AA310" i="8"/>
  <c r="AA309" i="8"/>
  <c r="T308" i="8"/>
  <c r="AA308" i="8" s="1"/>
  <c r="AA307" i="8"/>
  <c r="AA306" i="8"/>
  <c r="AA305" i="8"/>
  <c r="AA304" i="8"/>
  <c r="AA303" i="8"/>
  <c r="T302" i="8"/>
  <c r="AA302" i="8" s="1"/>
  <c r="AA301" i="8"/>
  <c r="AA300" i="8"/>
  <c r="AA296" i="8"/>
  <c r="T295" i="8"/>
  <c r="AA295" i="8" s="1"/>
  <c r="AA294" i="8"/>
  <c r="T293" i="8"/>
  <c r="AA291" i="8"/>
  <c r="AA290" i="8"/>
  <c r="AA289" i="8"/>
  <c r="AA288" i="8"/>
  <c r="T287" i="8"/>
  <c r="AA287" i="8" s="1"/>
  <c r="AA286" i="8"/>
  <c r="AA285" i="8"/>
  <c r="AA284" i="8"/>
  <c r="AA283" i="8"/>
  <c r="T282" i="8"/>
  <c r="AA282" i="8" s="1"/>
  <c r="AA281" i="8"/>
  <c r="AA280" i="8"/>
  <c r="AA279" i="8"/>
  <c r="AA278" i="8"/>
  <c r="T277" i="8"/>
  <c r="AA276" i="8"/>
  <c r="AA275" i="8"/>
  <c r="AA274" i="8"/>
  <c r="AA273" i="8"/>
  <c r="T272" i="8"/>
  <c r="AA272" i="8" s="1"/>
  <c r="AA271" i="8"/>
  <c r="AA270" i="8"/>
  <c r="AA269" i="8"/>
  <c r="AA268" i="8"/>
  <c r="T267" i="8"/>
  <c r="AA267" i="8" s="1"/>
  <c r="AA266" i="8"/>
  <c r="AA265" i="8"/>
  <c r="AA264" i="8"/>
  <c r="AA263" i="8"/>
  <c r="AA262" i="8"/>
  <c r="T261" i="8"/>
  <c r="AA261" i="8" s="1"/>
  <c r="AA260" i="8"/>
  <c r="AA259" i="8"/>
  <c r="AA256" i="8"/>
  <c r="T255" i="8"/>
  <c r="AA255" i="8" s="1"/>
  <c r="AA254" i="8"/>
  <c r="T253" i="8"/>
  <c r="AA251" i="8"/>
  <c r="AA250" i="8"/>
  <c r="AA249" i="8"/>
  <c r="AA248" i="8"/>
  <c r="AA247" i="8"/>
  <c r="T246" i="8"/>
  <c r="AA246" i="8" s="1"/>
  <c r="AA245" i="8"/>
  <c r="AA244" i="8"/>
  <c r="AA243" i="8"/>
  <c r="AA242" i="8"/>
  <c r="AA241" i="8"/>
  <c r="AA240" i="8"/>
  <c r="T239" i="8"/>
  <c r="AA239" i="8" s="1"/>
  <c r="AA238" i="8"/>
  <c r="AA237" i="8"/>
  <c r="AA236" i="8"/>
  <c r="AA235" i="8"/>
  <c r="AA234" i="8"/>
  <c r="T233" i="8"/>
  <c r="AA233" i="8" s="1"/>
  <c r="AA232" i="8"/>
  <c r="AA231" i="8"/>
  <c r="AA230" i="8"/>
  <c r="AA229" i="8"/>
  <c r="AA228" i="8"/>
  <c r="T227" i="8"/>
  <c r="AA227" i="8" s="1"/>
  <c r="AA226" i="8"/>
  <c r="AA225" i="8"/>
  <c r="AA224" i="8"/>
  <c r="AA223" i="8"/>
  <c r="T222" i="8"/>
  <c r="AA222" i="8" s="1"/>
  <c r="AA221" i="8"/>
  <c r="AD220" i="8"/>
  <c r="AA220" i="8"/>
  <c r="AD219" i="8"/>
  <c r="AA219" i="8"/>
  <c r="AD218" i="8"/>
  <c r="AA218" i="8"/>
  <c r="AD217" i="8"/>
  <c r="T217" i="8"/>
  <c r="AA217" i="8" s="1"/>
  <c r="AA216" i="8"/>
  <c r="AA215" i="8"/>
  <c r="AA214" i="8"/>
  <c r="T211" i="8"/>
  <c r="AA211" i="8" s="1"/>
  <c r="T209" i="8"/>
  <c r="Y197" i="8"/>
  <c r="Y162" i="8" s="1"/>
  <c r="X197" i="8"/>
  <c r="X162" i="8" s="1"/>
  <c r="W197" i="8"/>
  <c r="W162" i="8" s="1"/>
  <c r="V197" i="8"/>
  <c r="V162" i="8" s="1"/>
  <c r="U197" i="8"/>
  <c r="Y140" i="8"/>
  <c r="X140" i="8"/>
  <c r="W140" i="8"/>
  <c r="V140" i="8"/>
  <c r="T167" i="8"/>
  <c r="T166" i="8"/>
  <c r="Y164" i="8"/>
  <c r="X164" i="8"/>
  <c r="W164" i="8"/>
  <c r="V164" i="8"/>
  <c r="U164" i="8"/>
  <c r="Y163" i="8"/>
  <c r="X163" i="8"/>
  <c r="W163" i="8"/>
  <c r="V163" i="8"/>
  <c r="U163" i="8"/>
  <c r="AA154" i="8"/>
  <c r="AA150" i="8"/>
  <c r="Y148" i="8"/>
  <c r="X148" i="8"/>
  <c r="W148" i="8"/>
  <c r="V148" i="8"/>
  <c r="U148" i="8"/>
  <c r="Y127" i="8"/>
  <c r="W127" i="8"/>
  <c r="V127" i="8"/>
  <c r="T124" i="8"/>
  <c r="AA124" i="8" s="1"/>
  <c r="Y104" i="8"/>
  <c r="X104" i="8"/>
  <c r="W104" i="8"/>
  <c r="V104" i="8"/>
  <c r="U104" i="8"/>
  <c r="Y103" i="8"/>
  <c r="X103" i="8"/>
  <c r="W103" i="8"/>
  <c r="V103" i="8"/>
  <c r="U103" i="8"/>
  <c r="Y80" i="8"/>
  <c r="X80" i="8"/>
  <c r="W80" i="8"/>
  <c r="V80" i="8"/>
  <c r="U80" i="8"/>
  <c r="T80" i="8"/>
  <c r="Y79" i="8"/>
  <c r="X79" i="8"/>
  <c r="W79" i="8"/>
  <c r="V79" i="8"/>
  <c r="U79" i="8"/>
  <c r="T79" i="8"/>
  <c r="Y78" i="8"/>
  <c r="X78" i="8"/>
  <c r="W78" i="8"/>
  <c r="V78" i="8"/>
  <c r="Y68" i="8"/>
  <c r="Y37" i="8" s="1"/>
  <c r="X68" i="8"/>
  <c r="X37" i="8" s="1"/>
  <c r="W68" i="8"/>
  <c r="W37" i="8" s="1"/>
  <c r="V68" i="8"/>
  <c r="V37" i="8" s="1"/>
  <c r="U68" i="8"/>
  <c r="U37" i="8" s="1"/>
  <c r="T68" i="8"/>
  <c r="T37" i="8" s="1"/>
  <c r="Y67" i="8"/>
  <c r="X67" i="8"/>
  <c r="W67" i="8"/>
  <c r="V67" i="8"/>
  <c r="U67" i="8"/>
  <c r="AA64" i="8"/>
  <c r="Y57" i="8"/>
  <c r="Y36" i="8" s="1"/>
  <c r="X57" i="8"/>
  <c r="X36" i="8" s="1"/>
  <c r="W57" i="8"/>
  <c r="W36" i="8" s="1"/>
  <c r="V57" i="8"/>
  <c r="V36" i="8" s="1"/>
  <c r="U57" i="8"/>
  <c r="U36" i="8" s="1"/>
  <c r="T57" i="8"/>
  <c r="T36" i="8" s="1"/>
  <c r="Y56" i="8"/>
  <c r="X56" i="8"/>
  <c r="W56" i="8"/>
  <c r="V56" i="8"/>
  <c r="U56" i="8"/>
  <c r="AA53" i="8"/>
  <c r="AA52" i="8"/>
  <c r="AA51" i="8"/>
  <c r="Y50" i="8"/>
  <c r="X50" i="8"/>
  <c r="W50" i="8"/>
  <c r="V50" i="8"/>
  <c r="U50" i="8"/>
  <c r="AA43" i="8"/>
  <c r="AA42" i="8"/>
  <c r="Y41" i="8"/>
  <c r="X41" i="8"/>
  <c r="W41" i="8"/>
  <c r="V41" i="8"/>
  <c r="U41" i="8"/>
  <c r="Y35" i="8"/>
  <c r="X35" i="8"/>
  <c r="W35" i="8"/>
  <c r="V35" i="8"/>
  <c r="U35" i="8"/>
  <c r="T35" i="8"/>
  <c r="Y33" i="8"/>
  <c r="AA33" i="8" s="1"/>
  <c r="AA29" i="8"/>
  <c r="T24" i="8"/>
  <c r="U24" i="8" s="1"/>
  <c r="V24" i="8" s="1"/>
  <c r="W24" i="8" s="1"/>
  <c r="X24" i="8" s="1"/>
  <c r="Y24" i="8" s="1"/>
  <c r="T23" i="8"/>
  <c r="U23" i="8" s="1"/>
  <c r="V23" i="8" s="1"/>
  <c r="T22" i="8"/>
  <c r="U22" i="8" s="1"/>
  <c r="V22" i="8" s="1"/>
  <c r="W22" i="8" s="1"/>
  <c r="X22" i="8" s="1"/>
  <c r="Y22" i="8" s="1"/>
  <c r="T21" i="8"/>
  <c r="U21" i="8" s="1"/>
  <c r="V21" i="8" s="1"/>
  <c r="W21" i="8" s="1"/>
  <c r="X21" i="8" s="1"/>
  <c r="Y21" i="8" s="1"/>
  <c r="T20" i="8"/>
  <c r="U20" i="8" s="1"/>
  <c r="V20" i="8" s="1"/>
  <c r="T19" i="8"/>
  <c r="U19" i="8" s="1"/>
  <c r="V19" i="8" s="1"/>
  <c r="W19" i="8" s="1"/>
  <c r="X19" i="8" s="1"/>
  <c r="Y19" i="8" s="1"/>
  <c r="T18" i="8"/>
  <c r="U18" i="8" s="1"/>
  <c r="V31" i="8" l="1"/>
  <c r="U31" i="8"/>
  <c r="T208" i="8"/>
  <c r="AA208" i="8" s="1"/>
  <c r="T252" i="8"/>
  <c r="AA35" i="8"/>
  <c r="AA513" i="8"/>
  <c r="AA495" i="8"/>
  <c r="AA165" i="8"/>
  <c r="AA30" i="8"/>
  <c r="AA79" i="8"/>
  <c r="W141" i="8"/>
  <c r="T140" i="8"/>
  <c r="AA140" i="8" s="1"/>
  <c r="AA167" i="8"/>
  <c r="AA498" i="8"/>
  <c r="AA127" i="8"/>
  <c r="AA501" i="8"/>
  <c r="U162" i="8"/>
  <c r="U139" i="8" s="1"/>
  <c r="AA504" i="8"/>
  <c r="AA206" i="8"/>
  <c r="T104" i="8"/>
  <c r="AA104" i="8" s="1"/>
  <c r="AA106" i="8"/>
  <c r="T479" i="8"/>
  <c r="AA479" i="8" s="1"/>
  <c r="T477" i="8"/>
  <c r="AA477" i="8" s="1"/>
  <c r="AA493" i="8"/>
  <c r="U141" i="8"/>
  <c r="W31" i="8"/>
  <c r="X31" i="8"/>
  <c r="Y31" i="8"/>
  <c r="AA253" i="8"/>
  <c r="AA252" i="8"/>
  <c r="AA293" i="8"/>
  <c r="T292" i="8"/>
  <c r="AA292" i="8" s="1"/>
  <c r="Y139" i="8"/>
  <c r="AA209" i="8"/>
  <c r="V141" i="8"/>
  <c r="T141" i="8"/>
  <c r="V139" i="8"/>
  <c r="X141" i="8"/>
  <c r="W139" i="8"/>
  <c r="Y141" i="8"/>
  <c r="X139" i="8"/>
  <c r="T514" i="8"/>
  <c r="AA514" i="8" s="1"/>
  <c r="T491" i="8"/>
  <c r="X475" i="8"/>
  <c r="AA497" i="8"/>
  <c r="AA503" i="8"/>
  <c r="V491" i="8"/>
  <c r="Y491" i="8"/>
  <c r="AA494" i="8"/>
  <c r="AA500" i="8"/>
  <c r="X491" i="8"/>
  <c r="T513" i="8"/>
  <c r="W491" i="8"/>
  <c r="T67" i="8"/>
  <c r="AA67" i="8" s="1"/>
  <c r="T492" i="8"/>
  <c r="AA50" i="8"/>
  <c r="U491" i="8"/>
  <c r="T164" i="8"/>
  <c r="AA164" i="8" s="1"/>
  <c r="T103" i="8"/>
  <c r="AA103" i="8" s="1"/>
  <c r="AD221" i="8"/>
  <c r="AA277" i="8"/>
  <c r="T383" i="8"/>
  <c r="AA383" i="8" s="1"/>
  <c r="V492" i="8"/>
  <c r="V475" i="8" s="1"/>
  <c r="T148" i="8"/>
  <c r="AA148" i="8" s="1"/>
  <c r="T163" i="8"/>
  <c r="AA163" i="8" s="1"/>
  <c r="Y492" i="8"/>
  <c r="Y475" i="8" s="1"/>
  <c r="W492" i="8"/>
  <c r="W475" i="8" s="1"/>
  <c r="T78" i="8"/>
  <c r="AA78" i="8" s="1"/>
  <c r="T197" i="8"/>
  <c r="T56" i="8"/>
  <c r="AA56" i="8" s="1"/>
  <c r="AA45" i="8"/>
  <c r="T41" i="8"/>
  <c r="W20" i="8"/>
  <c r="X20" i="8" s="1"/>
  <c r="Y20" i="8" s="1"/>
  <c r="V18" i="8"/>
  <c r="W18" i="8" s="1"/>
  <c r="X18" i="8" s="1"/>
  <c r="Y18" i="8" s="1"/>
  <c r="W23" i="8"/>
  <c r="X23" i="8" s="1"/>
  <c r="Y23" i="8" s="1"/>
  <c r="AA19" i="8"/>
  <c r="AA22" i="8"/>
  <c r="AA21" i="8"/>
  <c r="AA24" i="8"/>
  <c r="U142" i="8" l="1"/>
  <c r="V142" i="8"/>
  <c r="W142" i="8"/>
  <c r="Z142" i="8"/>
  <c r="AA142" i="8" s="1"/>
  <c r="Y142" i="8"/>
  <c r="X142" i="8"/>
  <c r="AA141" i="8"/>
  <c r="U17" i="8"/>
  <c r="X17" i="8"/>
  <c r="Y17" i="8"/>
  <c r="W17" i="8"/>
  <c r="V17" i="8"/>
  <c r="AA492" i="8"/>
  <c r="T162" i="8"/>
  <c r="AA162" i="8" s="1"/>
  <c r="AA197" i="8"/>
  <c r="T31" i="8"/>
  <c r="T478" i="8"/>
  <c r="AA478" i="8" s="1"/>
  <c r="T205" i="8"/>
  <c r="AA205" i="8" s="1"/>
  <c r="AA491" i="8"/>
  <c r="T475" i="8"/>
  <c r="AA475" i="8" s="1"/>
  <c r="T476" i="8"/>
  <c r="AA476" i="8" s="1"/>
  <c r="AA41" i="8"/>
  <c r="AA20" i="8"/>
  <c r="AA23" i="8"/>
  <c r="AA18" i="8"/>
  <c r="AA31" i="8" l="1"/>
  <c r="T139" i="8"/>
  <c r="AA139" i="8" s="1"/>
  <c r="T17" i="8" l="1"/>
  <c r="AA17" i="8" s="1"/>
</calcChain>
</file>

<file path=xl/sharedStrings.xml><?xml version="1.0" encoding="utf-8"?>
<sst xmlns="http://schemas.openxmlformats.org/spreadsheetml/2006/main" count="5315" uniqueCount="350">
  <si>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</si>
  <si>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</si>
  <si>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</si>
  <si>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</si>
  <si>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</si>
  <si>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</si>
  <si>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</si>
  <si>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</si>
  <si>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</si>
  <si>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</si>
  <si>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</si>
  <si>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</si>
  <si>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</si>
  <si>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</si>
  <si>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</si>
  <si>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</si>
  <si>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</si>
  <si>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</si>
  <si>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</si>
  <si>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</si>
  <si>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</si>
  <si>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</si>
  <si>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</si>
  <si>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</si>
  <si>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</si>
  <si>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</si>
  <si>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</si>
  <si>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</si>
  <si>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</si>
  <si>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</si>
  <si>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</si>
  <si>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</si>
  <si>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</si>
  <si>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</si>
  <si>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</si>
  <si>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</si>
  <si>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</si>
  <si>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</si>
  <si>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</si>
  <si>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</si>
  <si>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</si>
  <si>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</si>
  <si>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</si>
  <si>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</si>
  <si>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</si>
  <si>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</si>
  <si>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</si>
  <si>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</si>
  <si>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</si>
  <si>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</si>
  <si>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</si>
  <si>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</si>
  <si>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</si>
  <si>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</si>
  <si>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</si>
  <si>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</si>
  <si>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</si>
  <si>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</si>
  <si>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</si>
  <si>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</si>
  <si>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</si>
  <si>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</si>
  <si>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</si>
  <si>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</si>
  <si>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</si>
  <si>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</si>
  <si>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</si>
  <si>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</si>
  <si>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</si>
  <si>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</si>
  <si>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</si>
  <si>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</si>
  <si>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</si>
  <si>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</si>
  <si>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</si>
  <si>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</si>
  <si>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</si>
  <si>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</si>
  <si>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</si>
  <si>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</si>
  <si>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</si>
  <si>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</si>
  <si>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</si>
  <si>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</si>
  <si>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</si>
  <si>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</si>
  <si>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</si>
  <si>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</si>
  <si>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</si>
  <si>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</si>
  <si>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</si>
  <si>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</si>
  <si>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</si>
  <si>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</si>
  <si>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</si>
  <si>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</si>
  <si>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</si>
  <si>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</si>
  <si>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</si>
  <si>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</si>
  <si>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</si>
  <si>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</si>
  <si>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</si>
  <si>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</si>
  <si>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</si>
  <si>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</si>
  <si>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</si>
  <si>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</si>
  <si>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</si>
  <si>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</si>
  <si>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</si>
  <si>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</si>
  <si>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</si>
  <si>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</si>
  <si>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</si>
  <si>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</si>
  <si>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</si>
  <si>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</si>
  <si>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</si>
  <si>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</si>
  <si>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</si>
  <si>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</si>
  <si>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</si>
  <si>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</si>
  <si>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</si>
  <si>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</si>
  <si>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</si>
  <si>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</si>
  <si>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</si>
  <si>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</si>
  <si>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</si>
  <si>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</si>
  <si>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</si>
  <si>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</si>
  <si>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</si>
  <si>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</si>
  <si>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</si>
  <si>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</si>
  <si>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</si>
  <si>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</si>
  <si>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</si>
  <si>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</si>
  <si>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</si>
  <si>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</si>
  <si>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</si>
  <si>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</si>
  <si>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</si>
  <si>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</si>
  <si>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</si>
  <si>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</si>
  <si>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</si>
  <si>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</si>
  <si>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</si>
  <si>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</si>
  <si>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</si>
  <si>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</si>
  <si>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</si>
  <si>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</si>
  <si>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</si>
  <si>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</si>
  <si>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</si>
  <si>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</si>
  <si>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</si>
  <si>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</si>
  <si>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</si>
  <si>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</si>
  <si>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</si>
  <si>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</si>
  <si>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</si>
  <si>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</si>
  <si>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</si>
  <si>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</si>
  <si>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</si>
  <si>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</si>
  <si>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</si>
  <si>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</si>
  <si>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</si>
  <si>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</si>
  <si>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</si>
  <si>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</si>
  <si>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</si>
  <si>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</si>
  <si>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</si>
  <si>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</si>
  <si>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</si>
  <si>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</si>
  <si>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</si>
  <si>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</si>
  <si>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</si>
  <si>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</si>
  <si>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</si>
  <si>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</si>
  <si>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</si>
  <si>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</si>
  <si>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</si>
  <si>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</si>
  <si>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</si>
  <si>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</si>
  <si>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</si>
  <si>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</si>
  <si>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</si>
  <si>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</si>
  <si>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</si>
  <si>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</si>
  <si>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</si>
  <si>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</si>
  <si>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</si>
  <si>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</si>
  <si>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</si>
  <si>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</si>
  <si>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</si>
  <si>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</si>
  <si>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</si>
  <si>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</si>
  <si>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</si>
  <si>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</si>
  <si>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</si>
  <si>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</si>
  <si>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</si>
  <si>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</si>
  <si>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</si>
  <si>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</si>
  <si>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</si>
  <si>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</si>
  <si>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</si>
  <si>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</si>
  <si>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</si>
  <si>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</si>
  <si>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</si>
  <si>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</si>
  <si>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</si>
  <si>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</si>
  <si>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</si>
  <si>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</si>
  <si>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</si>
  <si>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</si>
  <si>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</si>
  <si>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</si>
  <si>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</si>
  <si>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</si>
  <si>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</si>
  <si>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</si>
  <si>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</si>
  <si>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</si>
  <si>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</si>
  <si>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</si>
  <si>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</si>
  <si>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</si>
  <si>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</si>
  <si>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</si>
  <si>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</si>
  <si>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</si>
  <si>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</si>
  <si>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</si>
  <si>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</si>
  <si>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</si>
  <si>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</si>
  <si>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</si>
  <si>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</si>
  <si>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</si>
  <si>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</si>
  <si>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</si>
  <si>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</si>
  <si>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</si>
  <si>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</si>
  <si>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</si>
  <si>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</si>
  <si>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</si>
  <si>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</si>
  <si>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</si>
  <si>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</si>
  <si>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</si>
  <si>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</si>
  <si>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</si>
  <si>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</si>
  <si>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</si>
  <si>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</si>
  <si>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</si>
  <si>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</si>
  <si>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</si>
  <si>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</si>
  <si>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</si>
  <si>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</si>
  <si>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</si>
  <si>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</si>
  <si>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</si>
  <si>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</si>
  <si>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</si>
  <si>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</si>
  <si>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</si>
  <si>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</si>
  <si>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</si>
  <si>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</si>
  <si>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</si>
  <si>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</si>
  <si>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</si>
  <si>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</si>
  <si>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</si>
  <si>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</si>
  <si>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</si>
  <si>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</si>
  <si>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</si>
  <si>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</si>
  <si>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</si>
  <si>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</si>
  <si>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</si>
  <si>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</si>
  <si>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</si>
  <si>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</si>
  <si>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</si>
  <si>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</si>
  <si>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</si>
  <si>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</si>
  <si>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</si>
  <si>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</si>
  <si>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</si>
  <si>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</si>
  <si>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</si>
  <si>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</si>
  <si>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</si>
  <si>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</si>
  <si>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</si>
  <si>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</si>
  <si>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</si>
  <si>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</si>
  <si>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</si>
  <si>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</si>
  <si>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</si>
  <si>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</si>
  <si>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</si>
  <si>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</si>
  <si>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</si>
  <si>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</si>
  <si>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</si>
  <si>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</si>
  <si>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</si>
  <si>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</si>
  <si>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</si>
  <si>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</si>
  <si>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t xml:space="preserve">Мероприятие 4.03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</si>
  <si>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</si>
  <si>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</si>
  <si>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</si>
  <si>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</si>
  <si>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</si>
  <si>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</si>
  <si>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</si>
  <si>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</si>
  <si>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Д.В. Ревнивых</t>
  </si>
  <si>
    <t>Приложение 1
к постановлению Администрации города Твери
от «17» февраля 2020 № 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</si>
</sst>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6"/>
  <sheetViews>
    <sheetView tabSelected="1" view="pageBreakPreview" topLeftCell="A3" zoomScale="70" zoomScaleNormal="90" zoomScaleSheetLayoutView="70" zoomScalePageLayoutView="62" workbookViewId="0">
      <selection activeCell="AD7" sqref="AD7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1.7109375" style="8" customWidth="1"/>
    <col min="28" max="28" width="6.7109375" style="7" customWidth="1"/>
    <col min="29" max="29" width="12.85546875" style="106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4" ht="46.9" hidden="1" customHeight="1" x14ac:dyDescent="0.25">
      <c r="A1" s="161" t="s">
        <v>312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25"/>
      <c r="AD1" s="105"/>
      <c r="AE1" s="105"/>
      <c r="AF1" s="105"/>
    </row>
    <row r="2" spans="1:34" hidden="1" x14ac:dyDescent="0.25"/>
    <row r="3" spans="1:34" ht="46.9" customHeight="1" x14ac:dyDescent="0.25">
      <c r="A3" s="161" t="s">
        <v>349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05"/>
      <c r="AD3" s="105"/>
      <c r="AE3" s="105"/>
    </row>
    <row r="4" spans="1:34" ht="12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05"/>
      <c r="AD4" s="105"/>
      <c r="AE4" s="105"/>
    </row>
    <row r="5" spans="1:34" x14ac:dyDescent="0.25">
      <c r="A5" s="161" t="s">
        <v>335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05"/>
      <c r="AD5" s="105"/>
      <c r="AE5" s="105"/>
    </row>
    <row r="6" spans="1:34" ht="15.6" customHeight="1" x14ac:dyDescent="0.25">
      <c r="A6" s="161" t="s">
        <v>26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9"/>
    </row>
    <row r="7" spans="1:34" ht="15.6" customHeight="1" x14ac:dyDescent="0.25">
      <c r="A7" s="161" t="s">
        <v>48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9"/>
    </row>
    <row r="8" spans="1:34" ht="15.6" customHeight="1" x14ac:dyDescent="0.25">
      <c r="A8" s="161" t="s">
        <v>301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 spans="1:34" ht="7.1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8"/>
      <c r="S9" s="148"/>
      <c r="T9" s="148"/>
      <c r="U9" s="148"/>
      <c r="V9" s="11"/>
      <c r="W9" s="148"/>
      <c r="X9" s="155"/>
      <c r="Y9" s="155"/>
      <c r="Z9" s="155"/>
      <c r="AA9" s="155"/>
      <c r="AB9" s="155"/>
    </row>
    <row r="10" spans="1:34" ht="18.75" customHeight="1" x14ac:dyDescent="0.25">
      <c r="A10" s="156" t="s">
        <v>12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9"/>
      <c r="AD10" s="12"/>
    </row>
    <row r="11" spans="1:34" ht="18" customHeight="1" x14ac:dyDescent="0.25">
      <c r="A11" s="156" t="s">
        <v>300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</row>
    <row r="12" spans="1:34" ht="18" customHeight="1" x14ac:dyDescent="0.25">
      <c r="A12" s="157" t="s">
        <v>57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</row>
    <row r="13" spans="1:34" ht="9" customHeight="1" x14ac:dyDescent="0.25">
      <c r="V13" s="13"/>
    </row>
    <row r="14" spans="1:34" s="100" customFormat="1" ht="51.6" customHeight="1" x14ac:dyDescent="0.25">
      <c r="A14" s="158" t="s">
        <v>16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9" t="s">
        <v>13</v>
      </c>
      <c r="S14" s="159" t="s">
        <v>33</v>
      </c>
      <c r="T14" s="159" t="s">
        <v>14</v>
      </c>
      <c r="U14" s="159"/>
      <c r="V14" s="159"/>
      <c r="W14" s="159"/>
      <c r="X14" s="159"/>
      <c r="Y14" s="159"/>
      <c r="Z14" s="159"/>
      <c r="AA14" s="160" t="s">
        <v>10</v>
      </c>
      <c r="AB14" s="160"/>
      <c r="AC14" s="9"/>
      <c r="AD14" s="9"/>
      <c r="AE14" s="9"/>
      <c r="AF14" s="9"/>
      <c r="AG14" s="9"/>
      <c r="AH14" s="9"/>
    </row>
    <row r="15" spans="1:34" s="100" customFormat="1" ht="53.45" customHeight="1" x14ac:dyDescent="0.25">
      <c r="A15" s="158" t="s">
        <v>29</v>
      </c>
      <c r="B15" s="158"/>
      <c r="C15" s="158"/>
      <c r="D15" s="158" t="s">
        <v>27</v>
      </c>
      <c r="E15" s="158"/>
      <c r="F15" s="158" t="s">
        <v>28</v>
      </c>
      <c r="G15" s="158"/>
      <c r="H15" s="158" t="s">
        <v>17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9"/>
      <c r="S15" s="159"/>
      <c r="T15" s="146">
        <v>2018</v>
      </c>
      <c r="U15" s="146">
        <v>2019</v>
      </c>
      <c r="V15" s="146">
        <v>2020</v>
      </c>
      <c r="W15" s="146">
        <v>2021</v>
      </c>
      <c r="X15" s="146">
        <v>2022</v>
      </c>
      <c r="Y15" s="146">
        <v>2023</v>
      </c>
      <c r="Z15" s="146">
        <v>2024</v>
      </c>
      <c r="AA15" s="146" t="s">
        <v>11</v>
      </c>
      <c r="AB15" s="146" t="s">
        <v>30</v>
      </c>
      <c r="AC15" s="14"/>
      <c r="AD15" s="15"/>
      <c r="AE15" s="15"/>
      <c r="AF15" s="16"/>
      <c r="AG15" s="16"/>
      <c r="AH15" s="16"/>
    </row>
    <row r="16" spans="1:34" s="100" customFormat="1" ht="15.75" customHeight="1" x14ac:dyDescent="0.25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17">
        <v>27</v>
      </c>
      <c r="AB16" s="17">
        <v>28</v>
      </c>
      <c r="AC16" s="18"/>
      <c r="AD16" s="19"/>
      <c r="AE16" s="20"/>
      <c r="AF16" s="16"/>
      <c r="AG16" s="16"/>
      <c r="AH16" s="16"/>
    </row>
    <row r="17" spans="1:36" s="8" customFormat="1" ht="24.6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 t="s">
        <v>15</v>
      </c>
      <c r="S17" s="23" t="s">
        <v>0</v>
      </c>
      <c r="T17" s="24">
        <f t="shared" ref="T17:Z17" si="0">T31+T139+T475+T531</f>
        <v>505632.41500000004</v>
      </c>
      <c r="U17" s="24">
        <f t="shared" si="0"/>
        <v>641164.1</v>
      </c>
      <c r="V17" s="24">
        <f t="shared" si="0"/>
        <v>357623.45999999996</v>
      </c>
      <c r="W17" s="24">
        <f t="shared" si="0"/>
        <v>279807.10000000003</v>
      </c>
      <c r="X17" s="24">
        <f t="shared" si="0"/>
        <v>279807.10000000003</v>
      </c>
      <c r="Y17" s="24">
        <f t="shared" si="0"/>
        <v>274611.39999999997</v>
      </c>
      <c r="Z17" s="24">
        <f t="shared" si="0"/>
        <v>264611.39999999997</v>
      </c>
      <c r="AA17" s="24">
        <f>SUM(T17:Z17)</f>
        <v>2603256.9750000001</v>
      </c>
      <c r="AB17" s="23">
        <v>2024</v>
      </c>
      <c r="AC17" s="14"/>
      <c r="AD17" s="14"/>
      <c r="AE17" s="14"/>
      <c r="AF17" s="14"/>
      <c r="AG17" s="14"/>
      <c r="AH17" s="14"/>
      <c r="AI17" s="25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2</v>
      </c>
      <c r="S18" s="28" t="s">
        <v>0</v>
      </c>
      <c r="T18" s="29" t="e">
        <f t="shared" ref="T18:T24" si="1">S18*105.1%</f>
        <v>#VALUE!</v>
      </c>
      <c r="U18" s="29" t="e">
        <f t="shared" ref="U18:V24" si="2">T18*104.9%</f>
        <v>#VALUE!</v>
      </c>
      <c r="V18" s="29" t="e">
        <f t="shared" si="2"/>
        <v>#VALUE!</v>
      </c>
      <c r="W18" s="29" t="e">
        <f t="shared" ref="W18:W24" si="3">V18*105.1%</f>
        <v>#VALUE!</v>
      </c>
      <c r="X18" s="29" t="e">
        <f t="shared" ref="X18:Y24" si="4">W18*104.9%</f>
        <v>#VALUE!</v>
      </c>
      <c r="Y18" s="29" t="e">
        <f t="shared" si="4"/>
        <v>#VALUE!</v>
      </c>
      <c r="Z18" s="29"/>
      <c r="AA18" s="29" t="e">
        <f t="shared" ref="AA18:AA24" si="5">T18+U18+V18+W18+X18+Y18</f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4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3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5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6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32" customFormat="1" ht="16.149999999999999" hidden="1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 t="s">
        <v>7</v>
      </c>
      <c r="S23" s="28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/>
      <c r="AA23" s="29" t="e">
        <f t="shared" si="5"/>
        <v>#VALUE!</v>
      </c>
      <c r="AB23" s="30">
        <v>2019</v>
      </c>
      <c r="AC23" s="31"/>
    </row>
    <row r="24" spans="1:36" s="32" customFormat="1" ht="16.149999999999999" hidden="1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 t="s">
        <v>1</v>
      </c>
      <c r="S24" s="28" t="s">
        <v>0</v>
      </c>
      <c r="T24" s="29" t="e">
        <f t="shared" si="1"/>
        <v>#VALUE!</v>
      </c>
      <c r="U24" s="29" t="e">
        <f t="shared" si="2"/>
        <v>#VALUE!</v>
      </c>
      <c r="V24" s="29" t="e">
        <f t="shared" si="2"/>
        <v>#VALUE!</v>
      </c>
      <c r="W24" s="29" t="e">
        <f t="shared" si="3"/>
        <v>#VALUE!</v>
      </c>
      <c r="X24" s="29" t="e">
        <f t="shared" si="4"/>
        <v>#VALUE!</v>
      </c>
      <c r="Y24" s="29" t="e">
        <f t="shared" si="4"/>
        <v>#VALUE!</v>
      </c>
      <c r="Z24" s="29"/>
      <c r="AA24" s="29" t="e">
        <f t="shared" si="5"/>
        <v>#VALUE!</v>
      </c>
      <c r="AB24" s="30">
        <v>2019</v>
      </c>
      <c r="AC24" s="31"/>
    </row>
    <row r="25" spans="1:36" s="8" customFormat="1" ht="31.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59</v>
      </c>
      <c r="S25" s="17"/>
      <c r="T25" s="36"/>
      <c r="U25" s="36"/>
      <c r="V25" s="36"/>
      <c r="W25" s="36"/>
      <c r="X25" s="36"/>
      <c r="Y25" s="36"/>
      <c r="Z25" s="36"/>
      <c r="AA25" s="36"/>
      <c r="AB25" s="147"/>
      <c r="AC25" s="96"/>
      <c r="AD25" s="38"/>
      <c r="AE25" s="38"/>
    </row>
    <row r="26" spans="1:36" ht="47.2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 t="s">
        <v>60</v>
      </c>
      <c r="S26" s="41" t="s">
        <v>9</v>
      </c>
      <c r="T26" s="3">
        <f xml:space="preserve"> (416.9+89.6)/2557*100</f>
        <v>19.8083691826359</v>
      </c>
      <c r="U26" s="3">
        <f xml:space="preserve"> (416.9+89.6+58.4)/2557*100</f>
        <v>22.09229565897536</v>
      </c>
      <c r="V26" s="3">
        <f xml:space="preserve"> (416.9+89.6+58.4+64.3)/2557*100</f>
        <v>24.606961282753222</v>
      </c>
      <c r="W26" s="3">
        <f xml:space="preserve"> (416.9+89.6+58.4+64.3+64.3)/2557*100</f>
        <v>27.121626906531088</v>
      </c>
      <c r="X26" s="3">
        <f xml:space="preserve"> (416.9+89.6+58.4+64.3+64.3+64.3)/2557*100</f>
        <v>29.63629253030895</v>
      </c>
      <c r="Y26" s="3">
        <f xml:space="preserve"> (416.9+89.6+58.4+64.3+64.3+64.3+64.3)/2557*100</f>
        <v>32.150958154086808</v>
      </c>
      <c r="Z26" s="3">
        <f xml:space="preserve"> (416.9+89.6+58.4+64.3+64.3+64.3+64.3+64.3)/2557*100</f>
        <v>34.665623777864674</v>
      </c>
      <c r="AA26" s="6">
        <f>Z26</f>
        <v>34.665623777864674</v>
      </c>
      <c r="AB26" s="146">
        <v>2024</v>
      </c>
      <c r="AC26" s="33"/>
    </row>
    <row r="27" spans="1:36" ht="47.2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 t="s">
        <v>61</v>
      </c>
      <c r="S27" s="41" t="s">
        <v>9</v>
      </c>
      <c r="T27" s="3">
        <f>((842+61)+58)/2737*100</f>
        <v>35.111435878699304</v>
      </c>
      <c r="U27" s="3">
        <f>((842+61)+58+42)/2738*100</f>
        <v>36.632578524470418</v>
      </c>
      <c r="V27" s="3">
        <f>((842+61)+58+42+49)/2738*100</f>
        <v>38.422205989773559</v>
      </c>
      <c r="W27" s="3">
        <f>((842+61)+58+42+49+48)/2738*100</f>
        <v>40.175310445580713</v>
      </c>
      <c r="X27" s="3">
        <f>((842+61)+58+42+48+48+49)/2738*100</f>
        <v>41.928414901387875</v>
      </c>
      <c r="Y27" s="3">
        <f>((842+61)+58+42+48+48+48+49)/2738*100</f>
        <v>43.681519357195029</v>
      </c>
      <c r="Z27" s="3">
        <f>((842+61)+58+42+48+48+48+48+49)/2738*100</f>
        <v>45.43462381300219</v>
      </c>
      <c r="AA27" s="6">
        <f>Z27</f>
        <v>45.43462381300219</v>
      </c>
      <c r="AB27" s="146">
        <v>2024</v>
      </c>
      <c r="AC27" s="42"/>
      <c r="AD27" s="43"/>
      <c r="AE27" s="43"/>
      <c r="AF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62</v>
      </c>
      <c r="S28" s="41" t="s">
        <v>34</v>
      </c>
      <c r="T28" s="133">
        <f>T32/420.1</f>
        <v>0.21328255177338726</v>
      </c>
      <c r="U28" s="133">
        <f>U32/420.1</f>
        <v>0.13901452035229706</v>
      </c>
      <c r="V28" s="133">
        <f t="shared" ref="V28:Z28" si="6">V32/420.1</f>
        <v>0.153058795524875</v>
      </c>
      <c r="W28" s="133">
        <f t="shared" si="6"/>
        <v>0.153058795524875</v>
      </c>
      <c r="X28" s="133">
        <f t="shared" si="6"/>
        <v>0.153058795524875</v>
      </c>
      <c r="Y28" s="133">
        <f t="shared" si="6"/>
        <v>0.153058795524875</v>
      </c>
      <c r="Z28" s="133">
        <f t="shared" si="6"/>
        <v>0.153058795524875</v>
      </c>
      <c r="AA28" s="6">
        <f>SUM(T28:Z28)</f>
        <v>1.1175910497500592</v>
      </c>
      <c r="AB28" s="146">
        <v>2024</v>
      </c>
      <c r="AC28" s="33"/>
    </row>
    <row r="29" spans="1:36" ht="31.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 t="s">
        <v>63</v>
      </c>
      <c r="S29" s="146" t="s">
        <v>52</v>
      </c>
      <c r="T29" s="3">
        <f>T122</f>
        <v>2557</v>
      </c>
      <c r="U29" s="3">
        <f t="shared" ref="U29:Z29" si="7">U122</f>
        <v>2220.9</v>
      </c>
      <c r="V29" s="3">
        <f t="shared" si="7"/>
        <v>2220.9</v>
      </c>
      <c r="W29" s="3">
        <f t="shared" si="7"/>
        <v>2220.9</v>
      </c>
      <c r="X29" s="3">
        <f t="shared" si="7"/>
        <v>2220.9</v>
      </c>
      <c r="Y29" s="3">
        <f t="shared" si="7"/>
        <v>2220.9</v>
      </c>
      <c r="Z29" s="3">
        <f t="shared" si="7"/>
        <v>2220.9</v>
      </c>
      <c r="AA29" s="5">
        <f>SUM(Y29)</f>
        <v>2220.9</v>
      </c>
      <c r="AB29" s="146">
        <v>2024</v>
      </c>
      <c r="AC29" s="33"/>
      <c r="AD29" s="25"/>
      <c r="AE29" s="12"/>
      <c r="AF29" s="12"/>
      <c r="AG29" s="12"/>
      <c r="AH29" s="12"/>
      <c r="AI29" s="12"/>
      <c r="AJ29" s="12"/>
    </row>
    <row r="30" spans="1:36" ht="47.25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64</v>
      </c>
      <c r="S30" s="146" t="s">
        <v>50</v>
      </c>
      <c r="T30" s="44">
        <f>T119</f>
        <v>2400</v>
      </c>
      <c r="U30" s="44">
        <f t="shared" ref="U30:Y30" si="8">U119</f>
        <v>2400</v>
      </c>
      <c r="V30" s="44">
        <f t="shared" si="8"/>
        <v>2964</v>
      </c>
      <c r="W30" s="44">
        <f t="shared" si="8"/>
        <v>2400</v>
      </c>
      <c r="X30" s="44">
        <f t="shared" si="8"/>
        <v>2400</v>
      </c>
      <c r="Y30" s="44">
        <f t="shared" si="8"/>
        <v>2400</v>
      </c>
      <c r="Z30" s="44">
        <f t="shared" ref="Z30" si="9">Z119</f>
        <v>2400</v>
      </c>
      <c r="AA30" s="45">
        <f>SUM(T30:Z30)</f>
        <v>17364</v>
      </c>
      <c r="AB30" s="146">
        <v>2024</v>
      </c>
      <c r="AC30" s="33"/>
    </row>
    <row r="31" spans="1:36" ht="31.5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7" t="s">
        <v>35</v>
      </c>
      <c r="S31" s="50" t="s">
        <v>268</v>
      </c>
      <c r="T31" s="49">
        <f>T41+T50+T56+T67+T78+T100+T103+T113+T116+T124+T127+T129+T136</f>
        <v>325992.60000000003</v>
      </c>
      <c r="U31" s="49">
        <f>U41+U50+U56+U67+U78+U100+U103+U113+U116+U124+U127+U129</f>
        <v>483865.9</v>
      </c>
      <c r="V31" s="49">
        <f>V41+V50+V56+V67+V78+V100+V103+V113+V116+V124+V127+V129</f>
        <v>300234.7</v>
      </c>
      <c r="W31" s="49">
        <f t="shared" ref="W31:Y31" si="10">W41+W50+W56+W67+W78+W100+W103+W113+W116+W124+W127+W129+W136</f>
        <v>225977.10000000003</v>
      </c>
      <c r="X31" s="49">
        <f t="shared" si="10"/>
        <v>225977.10000000003</v>
      </c>
      <c r="Y31" s="49">
        <f t="shared" si="10"/>
        <v>209134</v>
      </c>
      <c r="Z31" s="49">
        <f t="shared" ref="Z31" si="11">Z41+Z50+Z56+Z67+Z78+Z100+Z103+Z113+Z116+Z124+Z127+Z129+Z136</f>
        <v>209134</v>
      </c>
      <c r="AA31" s="49">
        <f>SUM(T31:Z31)</f>
        <v>1980315.4000000001</v>
      </c>
      <c r="AB31" s="50">
        <v>2024</v>
      </c>
      <c r="AC31" s="114"/>
    </row>
    <row r="32" spans="1:36" ht="31.1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51" t="s">
        <v>65</v>
      </c>
      <c r="S32" s="146" t="s">
        <v>52</v>
      </c>
      <c r="T32" s="4">
        <f>T47+T135</f>
        <v>89.6</v>
      </c>
      <c r="U32" s="4">
        <f>U47+U135</f>
        <v>58.4</v>
      </c>
      <c r="V32" s="4">
        <f>V47+V135</f>
        <v>64.3</v>
      </c>
      <c r="W32" s="4">
        <f>W47+W135</f>
        <v>64.3</v>
      </c>
      <c r="X32" s="4">
        <f>X47+X135</f>
        <v>64.3</v>
      </c>
      <c r="Y32" s="4">
        <f t="shared" ref="Y32:Z32" si="12">Y47+Y135</f>
        <v>64.3</v>
      </c>
      <c r="Z32" s="4">
        <f t="shared" si="12"/>
        <v>64.3</v>
      </c>
      <c r="AA32" s="5">
        <f>SUM(T32:Z32)</f>
        <v>469.50000000000006</v>
      </c>
      <c r="AB32" s="146">
        <v>2024</v>
      </c>
      <c r="AC32" s="33"/>
    </row>
    <row r="33" spans="1:31" s="54" customFormat="1" ht="31.1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 t="s">
        <v>66</v>
      </c>
      <c r="S33" s="41" t="s">
        <v>38</v>
      </c>
      <c r="T33" s="2">
        <f>T46+T134</f>
        <v>5</v>
      </c>
      <c r="U33" s="2">
        <f>U46+U134</f>
        <v>6</v>
      </c>
      <c r="V33" s="2">
        <f>V46+V134</f>
        <v>5</v>
      </c>
      <c r="W33" s="2">
        <f>W46+W134</f>
        <v>3</v>
      </c>
      <c r="X33" s="2">
        <f>X46+X134</f>
        <v>3</v>
      </c>
      <c r="Y33" s="44">
        <f>Y134</f>
        <v>3</v>
      </c>
      <c r="Z33" s="44">
        <f>Z134</f>
        <v>3</v>
      </c>
      <c r="AA33" s="45">
        <f>SUM(T33:Z33)</f>
        <v>28</v>
      </c>
      <c r="AB33" s="146">
        <v>2024</v>
      </c>
      <c r="AC33" s="33"/>
      <c r="AD33" s="53"/>
    </row>
    <row r="34" spans="1:31" s="54" customFormat="1" ht="31.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 t="s">
        <v>67</v>
      </c>
      <c r="S34" s="41" t="s">
        <v>9</v>
      </c>
      <c r="T34" s="55">
        <v>100</v>
      </c>
      <c r="U34" s="55">
        <v>100</v>
      </c>
      <c r="V34" s="55">
        <v>100</v>
      </c>
      <c r="W34" s="55">
        <v>100</v>
      </c>
      <c r="X34" s="55">
        <v>100</v>
      </c>
      <c r="Y34" s="55">
        <v>100</v>
      </c>
      <c r="Z34" s="55">
        <v>100</v>
      </c>
      <c r="AA34" s="56">
        <v>100</v>
      </c>
      <c r="AB34" s="146">
        <v>2024</v>
      </c>
      <c r="AC34" s="33"/>
      <c r="AD34" s="53"/>
    </row>
    <row r="35" spans="1:31" ht="47.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5" t="s">
        <v>68</v>
      </c>
      <c r="S35" s="146" t="s">
        <v>50</v>
      </c>
      <c r="T35" s="44">
        <f t="shared" ref="T35:Y35" si="13">T119</f>
        <v>2400</v>
      </c>
      <c r="U35" s="44">
        <f t="shared" si="13"/>
        <v>2400</v>
      </c>
      <c r="V35" s="44">
        <f t="shared" si="13"/>
        <v>2964</v>
      </c>
      <c r="W35" s="44">
        <f t="shared" si="13"/>
        <v>2400</v>
      </c>
      <c r="X35" s="44">
        <f t="shared" si="13"/>
        <v>2400</v>
      </c>
      <c r="Y35" s="44">
        <f t="shared" si="13"/>
        <v>2400</v>
      </c>
      <c r="Z35" s="44">
        <f t="shared" ref="Z35" si="14">Z119</f>
        <v>2400</v>
      </c>
      <c r="AA35" s="45">
        <f>SUM(T35:Z35)</f>
        <v>17364</v>
      </c>
      <c r="AB35" s="146">
        <v>2024</v>
      </c>
      <c r="AC35" s="33"/>
    </row>
    <row r="36" spans="1:31" ht="31.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5" t="s">
        <v>69</v>
      </c>
      <c r="S36" s="146" t="s">
        <v>38</v>
      </c>
      <c r="T36" s="44">
        <f t="shared" ref="T36:Y36" si="15">T57</f>
        <v>10</v>
      </c>
      <c r="U36" s="44">
        <f t="shared" si="15"/>
        <v>10</v>
      </c>
      <c r="V36" s="44">
        <f t="shared" si="15"/>
        <v>10</v>
      </c>
      <c r="W36" s="44">
        <f t="shared" si="15"/>
        <v>10</v>
      </c>
      <c r="X36" s="44">
        <f t="shared" si="15"/>
        <v>10</v>
      </c>
      <c r="Y36" s="44">
        <f t="shared" si="15"/>
        <v>10</v>
      </c>
      <c r="Z36" s="44">
        <f t="shared" ref="Z36" si="16">Z57</f>
        <v>10</v>
      </c>
      <c r="AA36" s="52">
        <v>10</v>
      </c>
      <c r="AB36" s="146">
        <v>2024</v>
      </c>
      <c r="AC36" s="33"/>
    </row>
    <row r="37" spans="1:31" ht="47.2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51" t="s">
        <v>70</v>
      </c>
      <c r="S37" s="146" t="s">
        <v>38</v>
      </c>
      <c r="T37" s="44">
        <f t="shared" ref="T37:Y37" si="17">T68</f>
        <v>20</v>
      </c>
      <c r="U37" s="2">
        <f t="shared" si="17"/>
        <v>20</v>
      </c>
      <c r="V37" s="2">
        <f t="shared" si="17"/>
        <v>20</v>
      </c>
      <c r="W37" s="2">
        <f t="shared" si="17"/>
        <v>20</v>
      </c>
      <c r="X37" s="2">
        <f t="shared" si="17"/>
        <v>20</v>
      </c>
      <c r="Y37" s="2">
        <f t="shared" si="17"/>
        <v>20</v>
      </c>
      <c r="Z37" s="2">
        <f t="shared" ref="Z37" si="18">Z68</f>
        <v>20</v>
      </c>
      <c r="AA37" s="52">
        <v>20</v>
      </c>
      <c r="AB37" s="146">
        <v>2024</v>
      </c>
      <c r="AC37" s="33"/>
    </row>
    <row r="38" spans="1:31" s="54" customFormat="1" ht="46.1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51" t="s">
        <v>71</v>
      </c>
      <c r="S38" s="41" t="s">
        <v>38</v>
      </c>
      <c r="T38" s="44">
        <f>T81</f>
        <v>25</v>
      </c>
      <c r="U38" s="44">
        <f>U81</f>
        <v>77</v>
      </c>
      <c r="V38" s="44">
        <f t="shared" ref="V38:Y38" si="19">V81</f>
        <v>81</v>
      </c>
      <c r="W38" s="44">
        <f t="shared" si="19"/>
        <v>54</v>
      </c>
      <c r="X38" s="44">
        <f t="shared" si="19"/>
        <v>54</v>
      </c>
      <c r="Y38" s="44">
        <f t="shared" si="19"/>
        <v>54</v>
      </c>
      <c r="Z38" s="44">
        <f t="shared" ref="Z38" si="20">Z81</f>
        <v>54</v>
      </c>
      <c r="AA38" s="52">
        <f>SUM(T38:Z38)</f>
        <v>399</v>
      </c>
      <c r="AB38" s="146">
        <v>2024</v>
      </c>
      <c r="AC38" s="114"/>
      <c r="AD38" s="53"/>
    </row>
    <row r="39" spans="1:31" s="54" customFormat="1" ht="63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145" t="s">
        <v>72</v>
      </c>
      <c r="S39" s="58" t="s">
        <v>41</v>
      </c>
      <c r="T39" s="59">
        <v>1</v>
      </c>
      <c r="U39" s="59">
        <v>1</v>
      </c>
      <c r="V39" s="59">
        <v>1</v>
      </c>
      <c r="W39" s="59">
        <v>1</v>
      </c>
      <c r="X39" s="59">
        <v>1</v>
      </c>
      <c r="Y39" s="59">
        <v>1</v>
      </c>
      <c r="Z39" s="59">
        <v>1</v>
      </c>
      <c r="AA39" s="60">
        <v>1</v>
      </c>
      <c r="AB39" s="61">
        <v>2024</v>
      </c>
      <c r="AC39" s="33"/>
      <c r="AD39" s="53"/>
    </row>
    <row r="40" spans="1:31" ht="31.5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 t="s">
        <v>73</v>
      </c>
      <c r="S40" s="41" t="s">
        <v>38</v>
      </c>
      <c r="T40" s="44">
        <v>5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52">
        <f>SUM(T40:Z40)</f>
        <v>41</v>
      </c>
      <c r="AB40" s="146">
        <v>2024</v>
      </c>
      <c r="AC40" s="125"/>
      <c r="AD40" s="105"/>
      <c r="AE40" s="8"/>
    </row>
    <row r="41" spans="1:31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52" t="s">
        <v>74</v>
      </c>
      <c r="S41" s="58" t="s">
        <v>0</v>
      </c>
      <c r="T41" s="62">
        <f t="shared" ref="T41:Y41" si="21">T42+T43+T44+T45</f>
        <v>85389.599999999991</v>
      </c>
      <c r="U41" s="62">
        <f t="shared" si="21"/>
        <v>0</v>
      </c>
      <c r="V41" s="62">
        <f t="shared" si="21"/>
        <v>0</v>
      </c>
      <c r="W41" s="62">
        <f t="shared" si="21"/>
        <v>0</v>
      </c>
      <c r="X41" s="62">
        <f t="shared" si="21"/>
        <v>0</v>
      </c>
      <c r="Y41" s="62">
        <f t="shared" si="21"/>
        <v>0</v>
      </c>
      <c r="Z41" s="62">
        <f t="shared" ref="Z41" si="22">Z42+Z43+Z44+Z45</f>
        <v>0</v>
      </c>
      <c r="AA41" s="62">
        <f>SUM(T41:Y41)</f>
        <v>85389.599999999991</v>
      </c>
      <c r="AB41" s="61">
        <v>2018</v>
      </c>
      <c r="AC41" s="129"/>
      <c r="AD41" s="63"/>
      <c r="AE41" s="8"/>
    </row>
    <row r="42" spans="1:31" ht="16.899999999999999" hidden="1" customHeight="1" x14ac:dyDescent="0.25">
      <c r="A42" s="57" t="s">
        <v>18</v>
      </c>
      <c r="B42" s="57" t="s">
        <v>19</v>
      </c>
      <c r="C42" s="57" t="s">
        <v>20</v>
      </c>
      <c r="D42" s="57" t="s">
        <v>18</v>
      </c>
      <c r="E42" s="57" t="s">
        <v>21</v>
      </c>
      <c r="F42" s="57" t="s">
        <v>18</v>
      </c>
      <c r="G42" s="57" t="s">
        <v>22</v>
      </c>
      <c r="H42" s="57" t="s">
        <v>19</v>
      </c>
      <c r="I42" s="57" t="s">
        <v>24</v>
      </c>
      <c r="J42" s="57" t="s">
        <v>18</v>
      </c>
      <c r="K42" s="57" t="s">
        <v>18</v>
      </c>
      <c r="L42" s="57" t="s">
        <v>19</v>
      </c>
      <c r="M42" s="57" t="s">
        <v>44</v>
      </c>
      <c r="N42" s="57" t="s">
        <v>21</v>
      </c>
      <c r="O42" s="57" t="s">
        <v>21</v>
      </c>
      <c r="P42" s="57" t="s">
        <v>21</v>
      </c>
      <c r="Q42" s="57" t="s">
        <v>45</v>
      </c>
      <c r="R42" s="152"/>
      <c r="S42" s="58" t="s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2">
        <f>SUM(T42:Y42)</f>
        <v>0</v>
      </c>
      <c r="AB42" s="61">
        <v>2022</v>
      </c>
      <c r="AD42" s="63"/>
      <c r="AE42" s="8"/>
    </row>
    <row r="43" spans="1:31" ht="16.899999999999999" hidden="1" customHeight="1" x14ac:dyDescent="0.25">
      <c r="A43" s="57" t="s">
        <v>18</v>
      </c>
      <c r="B43" s="57" t="s">
        <v>19</v>
      </c>
      <c r="C43" s="57" t="s">
        <v>20</v>
      </c>
      <c r="D43" s="57" t="s">
        <v>18</v>
      </c>
      <c r="E43" s="57" t="s">
        <v>21</v>
      </c>
      <c r="F43" s="57" t="s">
        <v>18</v>
      </c>
      <c r="G43" s="57" t="s">
        <v>22</v>
      </c>
      <c r="H43" s="57" t="s">
        <v>19</v>
      </c>
      <c r="I43" s="57" t="s">
        <v>24</v>
      </c>
      <c r="J43" s="57" t="s">
        <v>18</v>
      </c>
      <c r="K43" s="57" t="s">
        <v>18</v>
      </c>
      <c r="L43" s="57" t="s">
        <v>19</v>
      </c>
      <c r="M43" s="57" t="s">
        <v>44</v>
      </c>
      <c r="N43" s="57" t="s">
        <v>21</v>
      </c>
      <c r="O43" s="57" t="s">
        <v>21</v>
      </c>
      <c r="P43" s="57" t="s">
        <v>21</v>
      </c>
      <c r="Q43" s="57" t="s">
        <v>45</v>
      </c>
      <c r="R43" s="152"/>
      <c r="S43" s="58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2">
        <f>SUM(T43:Y43)</f>
        <v>0</v>
      </c>
      <c r="AB43" s="61">
        <v>2022</v>
      </c>
      <c r="AD43" s="63"/>
      <c r="AE43" s="8"/>
    </row>
    <row r="44" spans="1:31" x14ac:dyDescent="0.25">
      <c r="A44" s="57" t="s">
        <v>18</v>
      </c>
      <c r="B44" s="57" t="s">
        <v>19</v>
      </c>
      <c r="C44" s="57" t="s">
        <v>20</v>
      </c>
      <c r="D44" s="57" t="s">
        <v>18</v>
      </c>
      <c r="E44" s="57" t="s">
        <v>21</v>
      </c>
      <c r="F44" s="57" t="s">
        <v>18</v>
      </c>
      <c r="G44" s="57" t="s">
        <v>22</v>
      </c>
      <c r="H44" s="57" t="s">
        <v>19</v>
      </c>
      <c r="I44" s="57" t="s">
        <v>24</v>
      </c>
      <c r="J44" s="57" t="s">
        <v>18</v>
      </c>
      <c r="K44" s="57" t="s">
        <v>18</v>
      </c>
      <c r="L44" s="57" t="s">
        <v>19</v>
      </c>
      <c r="M44" s="57" t="s">
        <v>40</v>
      </c>
      <c r="N44" s="57" t="s">
        <v>21</v>
      </c>
      <c r="O44" s="57" t="s">
        <v>21</v>
      </c>
      <c r="P44" s="57" t="s">
        <v>21</v>
      </c>
      <c r="Q44" s="57" t="s">
        <v>18</v>
      </c>
      <c r="R44" s="152"/>
      <c r="S44" s="58" t="s">
        <v>0</v>
      </c>
      <c r="T44" s="1">
        <f>80246+3777-348.6</f>
        <v>83674.399999999994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2">
        <f>SUM(T44:Y44)</f>
        <v>83674.399999999994</v>
      </c>
      <c r="AB44" s="61">
        <v>2018</v>
      </c>
      <c r="AC44" s="127"/>
      <c r="AD44" s="105"/>
      <c r="AE44" s="105"/>
    </row>
    <row r="45" spans="1:31" x14ac:dyDescent="0.25">
      <c r="A45" s="57" t="s">
        <v>18</v>
      </c>
      <c r="B45" s="57" t="s">
        <v>19</v>
      </c>
      <c r="C45" s="57" t="s">
        <v>20</v>
      </c>
      <c r="D45" s="57" t="s">
        <v>18</v>
      </c>
      <c r="E45" s="57" t="s">
        <v>21</v>
      </c>
      <c r="F45" s="57" t="s">
        <v>18</v>
      </c>
      <c r="G45" s="57" t="s">
        <v>22</v>
      </c>
      <c r="H45" s="57" t="s">
        <v>19</v>
      </c>
      <c r="I45" s="57" t="s">
        <v>24</v>
      </c>
      <c r="J45" s="57" t="s">
        <v>18</v>
      </c>
      <c r="K45" s="57" t="s">
        <v>18</v>
      </c>
      <c r="L45" s="57" t="s">
        <v>19</v>
      </c>
      <c r="M45" s="57" t="s">
        <v>18</v>
      </c>
      <c r="N45" s="57" t="s">
        <v>18</v>
      </c>
      <c r="O45" s="57" t="s">
        <v>18</v>
      </c>
      <c r="P45" s="57" t="s">
        <v>18</v>
      </c>
      <c r="Q45" s="57" t="s">
        <v>18</v>
      </c>
      <c r="R45" s="152"/>
      <c r="S45" s="58" t="s">
        <v>0</v>
      </c>
      <c r="T45" s="1">
        <f>2298.3-43.1-12-538+10</f>
        <v>1715.2000000000003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62">
        <f>T45+U45+V45+W45+X45+Y45</f>
        <v>1715.2000000000003</v>
      </c>
      <c r="AB45" s="61">
        <v>2018</v>
      </c>
      <c r="AC45" s="127"/>
      <c r="AD45" s="107"/>
      <c r="AE45" s="107"/>
    </row>
    <row r="46" spans="1:31" s="75" customFormat="1" ht="31.9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4" t="s">
        <v>75</v>
      </c>
      <c r="S46" s="65" t="s">
        <v>38</v>
      </c>
      <c r="T46" s="2">
        <v>5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2">
        <f>T46</f>
        <v>5</v>
      </c>
      <c r="AB46" s="76">
        <v>2018</v>
      </c>
      <c r="AC46" s="33"/>
      <c r="AD46" s="99"/>
      <c r="AE46" s="99"/>
    </row>
    <row r="47" spans="1:31" s="75" customFormat="1" ht="32.450000000000003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64" t="s">
        <v>76</v>
      </c>
      <c r="S47" s="65" t="s">
        <v>52</v>
      </c>
      <c r="T47" s="3">
        <v>89.6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6">
        <f>T47</f>
        <v>89.6</v>
      </c>
      <c r="AB47" s="76">
        <v>2018</v>
      </c>
      <c r="AC47" s="33"/>
      <c r="AD47" s="99"/>
      <c r="AE47" s="99"/>
    </row>
    <row r="48" spans="1:31" ht="47.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145" t="s">
        <v>77</v>
      </c>
      <c r="S48" s="58" t="s">
        <v>41</v>
      </c>
      <c r="T48" s="59">
        <v>0</v>
      </c>
      <c r="U48" s="59">
        <v>0</v>
      </c>
      <c r="V48" s="59">
        <v>1</v>
      </c>
      <c r="W48" s="59">
        <v>1</v>
      </c>
      <c r="X48" s="59">
        <v>1</v>
      </c>
      <c r="Y48" s="59">
        <v>1</v>
      </c>
      <c r="Z48" s="59">
        <v>1</v>
      </c>
      <c r="AA48" s="60">
        <v>1</v>
      </c>
      <c r="AB48" s="61">
        <v>2024</v>
      </c>
      <c r="AC48" s="33"/>
      <c r="AD48" s="107"/>
      <c r="AE48" s="107"/>
    </row>
    <row r="49" spans="1:34" s="54" customFormat="1" ht="31.5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 t="s">
        <v>78</v>
      </c>
      <c r="S49" s="55" t="s">
        <v>38</v>
      </c>
      <c r="T49" s="44">
        <v>0</v>
      </c>
      <c r="U49" s="44">
        <v>0</v>
      </c>
      <c r="V49" s="44">
        <v>1</v>
      </c>
      <c r="W49" s="44">
        <v>1</v>
      </c>
      <c r="X49" s="44">
        <v>1</v>
      </c>
      <c r="Y49" s="44">
        <v>1</v>
      </c>
      <c r="Z49" s="44">
        <v>1</v>
      </c>
      <c r="AA49" s="45">
        <f>SUM(T49:Z49)</f>
        <v>5</v>
      </c>
      <c r="AB49" s="41">
        <v>2024</v>
      </c>
      <c r="AC49" s="33"/>
      <c r="AD49" s="53"/>
    </row>
    <row r="50" spans="1:34" ht="24.6" hidden="1" customHeigh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153" t="s">
        <v>79</v>
      </c>
      <c r="S50" s="66" t="s">
        <v>0</v>
      </c>
      <c r="T50" s="1"/>
      <c r="U50" s="1">
        <f t="shared" ref="U50:Z50" si="23">U52</f>
        <v>0</v>
      </c>
      <c r="V50" s="1">
        <f t="shared" si="23"/>
        <v>0</v>
      </c>
      <c r="W50" s="1">
        <f t="shared" si="23"/>
        <v>0</v>
      </c>
      <c r="X50" s="1">
        <f t="shared" si="23"/>
        <v>0</v>
      </c>
      <c r="Y50" s="1">
        <f t="shared" si="23"/>
        <v>0</v>
      </c>
      <c r="Z50" s="1">
        <f t="shared" si="23"/>
        <v>0</v>
      </c>
      <c r="AA50" s="62">
        <f>T50+U50+V50+W50+X50+Y50</f>
        <v>0</v>
      </c>
      <c r="AB50" s="61">
        <v>2018</v>
      </c>
    </row>
    <row r="51" spans="1:34" ht="22.15" hidden="1" customHeight="1" x14ac:dyDescent="0.25">
      <c r="A51" s="57" t="s">
        <v>18</v>
      </c>
      <c r="B51" s="57" t="s">
        <v>18</v>
      </c>
      <c r="C51" s="57" t="s">
        <v>23</v>
      </c>
      <c r="D51" s="57" t="s">
        <v>18</v>
      </c>
      <c r="E51" s="57" t="s">
        <v>21</v>
      </c>
      <c r="F51" s="57" t="s">
        <v>18</v>
      </c>
      <c r="G51" s="57" t="s">
        <v>22</v>
      </c>
      <c r="H51" s="57" t="s">
        <v>19</v>
      </c>
      <c r="I51" s="57" t="s">
        <v>24</v>
      </c>
      <c r="J51" s="57" t="s">
        <v>18</v>
      </c>
      <c r="K51" s="57" t="s">
        <v>18</v>
      </c>
      <c r="L51" s="57" t="s">
        <v>19</v>
      </c>
      <c r="M51" s="57" t="s">
        <v>18</v>
      </c>
      <c r="N51" s="57" t="s">
        <v>18</v>
      </c>
      <c r="O51" s="57" t="s">
        <v>18</v>
      </c>
      <c r="P51" s="57" t="s">
        <v>18</v>
      </c>
      <c r="Q51" s="57" t="s">
        <v>18</v>
      </c>
      <c r="R51" s="154"/>
      <c r="S51" s="5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2">
        <f>T51+U51+V51+W51+X51+Y51</f>
        <v>0</v>
      </c>
      <c r="AB51" s="61">
        <v>2018</v>
      </c>
    </row>
    <row r="52" spans="1:34" ht="20.45" hidden="1" customHeight="1" x14ac:dyDescent="0.25">
      <c r="A52" s="57" t="s">
        <v>18</v>
      </c>
      <c r="B52" s="57" t="s">
        <v>18</v>
      </c>
      <c r="C52" s="57" t="s">
        <v>23</v>
      </c>
      <c r="D52" s="57" t="s">
        <v>18</v>
      </c>
      <c r="E52" s="57" t="s">
        <v>21</v>
      </c>
      <c r="F52" s="57" t="s">
        <v>18</v>
      </c>
      <c r="G52" s="57" t="s">
        <v>22</v>
      </c>
      <c r="H52" s="57" t="s">
        <v>19</v>
      </c>
      <c r="I52" s="57" t="s">
        <v>24</v>
      </c>
      <c r="J52" s="57" t="s">
        <v>18</v>
      </c>
      <c r="K52" s="57" t="s">
        <v>18</v>
      </c>
      <c r="L52" s="57" t="s">
        <v>19</v>
      </c>
      <c r="M52" s="57" t="s">
        <v>19</v>
      </c>
      <c r="N52" s="57" t="s">
        <v>18</v>
      </c>
      <c r="O52" s="57" t="s">
        <v>23</v>
      </c>
      <c r="P52" s="57" t="s">
        <v>19</v>
      </c>
      <c r="Q52" s="57" t="s">
        <v>45</v>
      </c>
      <c r="R52" s="154"/>
      <c r="S52" s="66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62">
        <f>T52+U52+V52+W52+X52+Y52</f>
        <v>0</v>
      </c>
      <c r="AB52" s="61">
        <v>2018</v>
      </c>
    </row>
    <row r="53" spans="1:34" ht="21" hidden="1" customHeight="1" x14ac:dyDescent="0.25">
      <c r="A53" s="57" t="s">
        <v>18</v>
      </c>
      <c r="B53" s="57" t="s">
        <v>18</v>
      </c>
      <c r="C53" s="57" t="s">
        <v>23</v>
      </c>
      <c r="D53" s="57" t="s">
        <v>18</v>
      </c>
      <c r="E53" s="57" t="s">
        <v>21</v>
      </c>
      <c r="F53" s="57" t="s">
        <v>18</v>
      </c>
      <c r="G53" s="57" t="s">
        <v>22</v>
      </c>
      <c r="H53" s="57" t="s">
        <v>19</v>
      </c>
      <c r="I53" s="57" t="s">
        <v>24</v>
      </c>
      <c r="J53" s="57" t="s">
        <v>18</v>
      </c>
      <c r="K53" s="57" t="s">
        <v>18</v>
      </c>
      <c r="L53" s="57" t="s">
        <v>19</v>
      </c>
      <c r="M53" s="57" t="s">
        <v>37</v>
      </c>
      <c r="N53" s="57" t="s">
        <v>18</v>
      </c>
      <c r="O53" s="57" t="s">
        <v>23</v>
      </c>
      <c r="P53" s="57" t="s">
        <v>19</v>
      </c>
      <c r="Q53" s="57" t="s">
        <v>47</v>
      </c>
      <c r="R53" s="154"/>
      <c r="S53" s="66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62">
        <f>T53+U53+V53+W53+X53+Y53</f>
        <v>0</v>
      </c>
      <c r="AB53" s="60">
        <v>2018</v>
      </c>
    </row>
    <row r="54" spans="1:34" ht="36" hidden="1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0" t="s">
        <v>80</v>
      </c>
      <c r="S54" s="41" t="s">
        <v>50</v>
      </c>
      <c r="T54" s="44"/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52"/>
      <c r="AB54" s="2">
        <v>2018</v>
      </c>
      <c r="AD54" s="107"/>
      <c r="AE54" s="107"/>
    </row>
    <row r="55" spans="1:34" ht="41.45" hidden="1" customHeight="1" x14ac:dyDescent="0.25">
      <c r="A55" s="3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67" t="s">
        <v>81</v>
      </c>
      <c r="S55" s="68" t="s">
        <v>9</v>
      </c>
      <c r="T55" s="69">
        <v>100</v>
      </c>
      <c r="U55" s="69">
        <v>0</v>
      </c>
      <c r="V55" s="69">
        <v>0</v>
      </c>
      <c r="W55" s="69">
        <v>0</v>
      </c>
      <c r="X55" s="69">
        <v>0</v>
      </c>
      <c r="Y55" s="69">
        <v>0</v>
      </c>
      <c r="Z55" s="69">
        <v>0</v>
      </c>
      <c r="AA55" s="70">
        <v>100</v>
      </c>
      <c r="AB55" s="23">
        <v>2023</v>
      </c>
      <c r="AC55" s="119"/>
      <c r="AD55" s="105"/>
    </row>
    <row r="56" spans="1:34" ht="31.5" x14ac:dyDescent="0.25">
      <c r="A56" s="57"/>
      <c r="B56" s="57"/>
      <c r="C56" s="57"/>
      <c r="D56" s="57" t="s">
        <v>18</v>
      </c>
      <c r="E56" s="57" t="s">
        <v>21</v>
      </c>
      <c r="F56" s="57" t="s">
        <v>18</v>
      </c>
      <c r="G56" s="57" t="s">
        <v>22</v>
      </c>
      <c r="H56" s="57" t="s">
        <v>19</v>
      </c>
      <c r="I56" s="57" t="s">
        <v>24</v>
      </c>
      <c r="J56" s="57" t="s">
        <v>18</v>
      </c>
      <c r="K56" s="57" t="s">
        <v>18</v>
      </c>
      <c r="L56" s="57" t="s">
        <v>19</v>
      </c>
      <c r="M56" s="57" t="s">
        <v>18</v>
      </c>
      <c r="N56" s="57" t="s">
        <v>18</v>
      </c>
      <c r="O56" s="57" t="s">
        <v>18</v>
      </c>
      <c r="P56" s="57" t="s">
        <v>18</v>
      </c>
      <c r="Q56" s="57" t="s">
        <v>18</v>
      </c>
      <c r="R56" s="71" t="s">
        <v>82</v>
      </c>
      <c r="S56" s="61" t="s">
        <v>0</v>
      </c>
      <c r="T56" s="62">
        <f t="shared" ref="T56:Y56" si="24">T58+T60+T65+T62</f>
        <v>5077.4000000000005</v>
      </c>
      <c r="U56" s="62">
        <f t="shared" si="24"/>
        <v>2855.4</v>
      </c>
      <c r="V56" s="62">
        <f t="shared" si="24"/>
        <v>3500</v>
      </c>
      <c r="W56" s="62">
        <f t="shared" si="24"/>
        <v>3500</v>
      </c>
      <c r="X56" s="62">
        <f t="shared" si="24"/>
        <v>3500</v>
      </c>
      <c r="Y56" s="62">
        <f t="shared" si="24"/>
        <v>3500</v>
      </c>
      <c r="Z56" s="62">
        <f t="shared" ref="Z56" si="25">Z58+Z60+Z65+Z62</f>
        <v>3500</v>
      </c>
      <c r="AA56" s="62">
        <f>SUM(T56:Z56)</f>
        <v>25432.800000000003</v>
      </c>
      <c r="AB56" s="61">
        <v>2024</v>
      </c>
      <c r="AC56" s="124"/>
    </row>
    <row r="57" spans="1:34" ht="31.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64" t="s">
        <v>83</v>
      </c>
      <c r="S57" s="146" t="s">
        <v>38</v>
      </c>
      <c r="T57" s="2">
        <f t="shared" ref="T57:Y57" si="26">T59+T61+T63+T66</f>
        <v>10</v>
      </c>
      <c r="U57" s="2">
        <f t="shared" si="26"/>
        <v>10</v>
      </c>
      <c r="V57" s="2">
        <f t="shared" si="26"/>
        <v>10</v>
      </c>
      <c r="W57" s="2">
        <f t="shared" si="26"/>
        <v>10</v>
      </c>
      <c r="X57" s="2">
        <f t="shared" si="26"/>
        <v>10</v>
      </c>
      <c r="Y57" s="2">
        <f t="shared" si="26"/>
        <v>10</v>
      </c>
      <c r="Z57" s="2">
        <f t="shared" ref="Z57" si="27">Z59+Z61+Z63+Z66</f>
        <v>10</v>
      </c>
      <c r="AA57" s="45">
        <v>10</v>
      </c>
      <c r="AB57" s="41">
        <v>2024</v>
      </c>
      <c r="AC57" s="130"/>
      <c r="AD57" s="108"/>
      <c r="AE57" s="120"/>
      <c r="AF57" s="109"/>
      <c r="AG57" s="120"/>
      <c r="AH57" s="109"/>
    </row>
    <row r="58" spans="1:34" s="75" customFormat="1" ht="31.5" x14ac:dyDescent="0.25">
      <c r="A58" s="57" t="s">
        <v>18</v>
      </c>
      <c r="B58" s="57" t="s">
        <v>18</v>
      </c>
      <c r="C58" s="57" t="s">
        <v>22</v>
      </c>
      <c r="D58" s="57" t="s">
        <v>18</v>
      </c>
      <c r="E58" s="57" t="s">
        <v>21</v>
      </c>
      <c r="F58" s="57" t="s">
        <v>18</v>
      </c>
      <c r="G58" s="57" t="s">
        <v>22</v>
      </c>
      <c r="H58" s="57" t="s">
        <v>19</v>
      </c>
      <c r="I58" s="57" t="s">
        <v>24</v>
      </c>
      <c r="J58" s="57" t="s">
        <v>18</v>
      </c>
      <c r="K58" s="57" t="s">
        <v>18</v>
      </c>
      <c r="L58" s="57" t="s">
        <v>19</v>
      </c>
      <c r="M58" s="57" t="s">
        <v>18</v>
      </c>
      <c r="N58" s="57" t="s">
        <v>18</v>
      </c>
      <c r="O58" s="57" t="s">
        <v>18</v>
      </c>
      <c r="P58" s="57" t="s">
        <v>18</v>
      </c>
      <c r="Q58" s="57" t="s">
        <v>18</v>
      </c>
      <c r="R58" s="72" t="s">
        <v>84</v>
      </c>
      <c r="S58" s="58" t="s">
        <v>0</v>
      </c>
      <c r="T58" s="1">
        <f>1417.5-141.8-26.5</f>
        <v>1249.2</v>
      </c>
      <c r="U58" s="1">
        <f>1000-88.8-46.3</f>
        <v>864.90000000000009</v>
      </c>
      <c r="V58" s="1">
        <v>1000</v>
      </c>
      <c r="W58" s="1">
        <v>1000</v>
      </c>
      <c r="X58" s="1">
        <v>1000</v>
      </c>
      <c r="Y58" s="1">
        <v>1000</v>
      </c>
      <c r="Z58" s="1">
        <v>1000</v>
      </c>
      <c r="AA58" s="62">
        <f>SUM(T58:Z58)</f>
        <v>7114.1</v>
      </c>
      <c r="AB58" s="61">
        <v>2024</v>
      </c>
      <c r="AC58" s="122"/>
      <c r="AD58" s="74"/>
      <c r="AE58" s="74"/>
    </row>
    <row r="59" spans="1:34" s="54" customFormat="1" ht="47.2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51" t="s">
        <v>85</v>
      </c>
      <c r="S59" s="41" t="s">
        <v>38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3</v>
      </c>
      <c r="AA59" s="45">
        <v>3</v>
      </c>
      <c r="AB59" s="41">
        <v>2024</v>
      </c>
      <c r="AC59" s="130"/>
      <c r="AD59" s="108"/>
      <c r="AE59" s="108"/>
    </row>
    <row r="60" spans="1:34" s="75" customFormat="1" ht="31.5" x14ac:dyDescent="0.25">
      <c r="A60" s="57" t="s">
        <v>18</v>
      </c>
      <c r="B60" s="57" t="s">
        <v>18</v>
      </c>
      <c r="C60" s="57" t="s">
        <v>24</v>
      </c>
      <c r="D60" s="57" t="s">
        <v>18</v>
      </c>
      <c r="E60" s="57" t="s">
        <v>21</v>
      </c>
      <c r="F60" s="57" t="s">
        <v>18</v>
      </c>
      <c r="G60" s="57" t="s">
        <v>22</v>
      </c>
      <c r="H60" s="57" t="s">
        <v>19</v>
      </c>
      <c r="I60" s="57" t="s">
        <v>24</v>
      </c>
      <c r="J60" s="57" t="s">
        <v>18</v>
      </c>
      <c r="K60" s="57" t="s">
        <v>18</v>
      </c>
      <c r="L60" s="57" t="s">
        <v>19</v>
      </c>
      <c r="M60" s="57" t="s">
        <v>18</v>
      </c>
      <c r="N60" s="57" t="s">
        <v>18</v>
      </c>
      <c r="O60" s="57" t="s">
        <v>18</v>
      </c>
      <c r="P60" s="57" t="s">
        <v>18</v>
      </c>
      <c r="Q60" s="57" t="s">
        <v>18</v>
      </c>
      <c r="R60" s="72" t="s">
        <v>86</v>
      </c>
      <c r="S60" s="58" t="s">
        <v>0</v>
      </c>
      <c r="T60" s="1">
        <f>1115-77.4</f>
        <v>1037.5999999999999</v>
      </c>
      <c r="U60" s="1">
        <f>1100-208-27.6</f>
        <v>864.4</v>
      </c>
      <c r="V60" s="1">
        <v>1100</v>
      </c>
      <c r="W60" s="1">
        <v>1100</v>
      </c>
      <c r="X60" s="1">
        <v>1100</v>
      </c>
      <c r="Y60" s="1">
        <v>1100</v>
      </c>
      <c r="Z60" s="1">
        <v>1100</v>
      </c>
      <c r="AA60" s="62">
        <f>SUM(T60:Z60)</f>
        <v>7402</v>
      </c>
      <c r="AB60" s="61">
        <v>2024</v>
      </c>
      <c r="AC60" s="33"/>
      <c r="AD60" s="74"/>
      <c r="AE60" s="74"/>
    </row>
    <row r="61" spans="1:34" s="54" customFormat="1" ht="47.25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51" t="s">
        <v>87</v>
      </c>
      <c r="S61" s="41" t="s">
        <v>38</v>
      </c>
      <c r="T61" s="44">
        <v>4</v>
      </c>
      <c r="U61" s="44">
        <v>4</v>
      </c>
      <c r="V61" s="44">
        <v>4</v>
      </c>
      <c r="W61" s="44">
        <v>4</v>
      </c>
      <c r="X61" s="44">
        <v>4</v>
      </c>
      <c r="Y61" s="44">
        <v>4</v>
      </c>
      <c r="Z61" s="44">
        <v>4</v>
      </c>
      <c r="AA61" s="52">
        <v>4</v>
      </c>
      <c r="AB61" s="41">
        <v>2024</v>
      </c>
      <c r="AC61" s="131"/>
      <c r="AD61" s="116"/>
      <c r="AE61" s="110"/>
    </row>
    <row r="62" spans="1:34" s="75" customFormat="1" ht="31.5" x14ac:dyDescent="0.25">
      <c r="A62" s="57" t="s">
        <v>18</v>
      </c>
      <c r="B62" s="57" t="s">
        <v>18</v>
      </c>
      <c r="C62" s="57" t="s">
        <v>21</v>
      </c>
      <c r="D62" s="57" t="s">
        <v>18</v>
      </c>
      <c r="E62" s="57" t="s">
        <v>21</v>
      </c>
      <c r="F62" s="57" t="s">
        <v>18</v>
      </c>
      <c r="G62" s="57" t="s">
        <v>22</v>
      </c>
      <c r="H62" s="57" t="s">
        <v>19</v>
      </c>
      <c r="I62" s="57" t="s">
        <v>24</v>
      </c>
      <c r="J62" s="57" t="s">
        <v>18</v>
      </c>
      <c r="K62" s="57" t="s">
        <v>18</v>
      </c>
      <c r="L62" s="57" t="s">
        <v>19</v>
      </c>
      <c r="M62" s="57" t="s">
        <v>18</v>
      </c>
      <c r="N62" s="57" t="s">
        <v>18</v>
      </c>
      <c r="O62" s="57" t="s">
        <v>18</v>
      </c>
      <c r="P62" s="57" t="s">
        <v>18</v>
      </c>
      <c r="Q62" s="57" t="s">
        <v>18</v>
      </c>
      <c r="R62" s="72" t="s">
        <v>86</v>
      </c>
      <c r="S62" s="58" t="s">
        <v>0</v>
      </c>
      <c r="T62" s="1">
        <f>962.3-96.3-88.8</f>
        <v>777.2</v>
      </c>
      <c r="U62" s="1">
        <f>800-392-1.6</f>
        <v>406.4</v>
      </c>
      <c r="V62" s="1">
        <v>800</v>
      </c>
      <c r="W62" s="1">
        <v>800</v>
      </c>
      <c r="X62" s="1">
        <v>800</v>
      </c>
      <c r="Y62" s="1">
        <v>800</v>
      </c>
      <c r="Z62" s="1">
        <v>800</v>
      </c>
      <c r="AA62" s="62">
        <f>SUM(T62:Z62)</f>
        <v>5183.6000000000004</v>
      </c>
      <c r="AB62" s="61">
        <v>2024</v>
      </c>
      <c r="AC62" s="124"/>
    </row>
    <row r="63" spans="1:34" s="75" customFormat="1" ht="48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51" t="s">
        <v>88</v>
      </c>
      <c r="S63" s="41" t="s">
        <v>38</v>
      </c>
      <c r="T63" s="44">
        <v>2</v>
      </c>
      <c r="U63" s="44">
        <v>2</v>
      </c>
      <c r="V63" s="44">
        <v>2</v>
      </c>
      <c r="W63" s="44">
        <v>2</v>
      </c>
      <c r="X63" s="44">
        <v>2</v>
      </c>
      <c r="Y63" s="44">
        <v>2</v>
      </c>
      <c r="Z63" s="44">
        <v>2</v>
      </c>
      <c r="AA63" s="52">
        <v>2</v>
      </c>
      <c r="AB63" s="41">
        <v>2024</v>
      </c>
      <c r="AC63" s="33"/>
    </row>
    <row r="64" spans="1:34" s="54" customFormat="1" ht="47.25" hidden="1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67" t="s">
        <v>89</v>
      </c>
      <c r="S64" s="68" t="s">
        <v>8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70">
        <f>T64+U64+V64+W64+X64+Y64</f>
        <v>0</v>
      </c>
      <c r="AB64" s="23">
        <v>2023</v>
      </c>
      <c r="AC64" s="131"/>
      <c r="AD64" s="105"/>
      <c r="AE64" s="108"/>
    </row>
    <row r="65" spans="1:34" s="75" customFormat="1" ht="31.5" x14ac:dyDescent="0.25">
      <c r="A65" s="57" t="s">
        <v>18</v>
      </c>
      <c r="B65" s="57" t="s">
        <v>18</v>
      </c>
      <c r="C65" s="57" t="s">
        <v>25</v>
      </c>
      <c r="D65" s="57" t="s">
        <v>18</v>
      </c>
      <c r="E65" s="57" t="s">
        <v>21</v>
      </c>
      <c r="F65" s="57" t="s">
        <v>18</v>
      </c>
      <c r="G65" s="57" t="s">
        <v>22</v>
      </c>
      <c r="H65" s="57" t="s">
        <v>19</v>
      </c>
      <c r="I65" s="57" t="s">
        <v>24</v>
      </c>
      <c r="J65" s="57" t="s">
        <v>18</v>
      </c>
      <c r="K65" s="57" t="s">
        <v>18</v>
      </c>
      <c r="L65" s="57" t="s">
        <v>19</v>
      </c>
      <c r="M65" s="57" t="s">
        <v>18</v>
      </c>
      <c r="N65" s="57" t="s">
        <v>18</v>
      </c>
      <c r="O65" s="57" t="s">
        <v>18</v>
      </c>
      <c r="P65" s="57" t="s">
        <v>18</v>
      </c>
      <c r="Q65" s="57" t="s">
        <v>18</v>
      </c>
      <c r="R65" s="72" t="s">
        <v>90</v>
      </c>
      <c r="S65" s="58" t="s">
        <v>0</v>
      </c>
      <c r="T65" s="1">
        <f>646.8+300+1489-55+86.2-453.6</f>
        <v>2013.4</v>
      </c>
      <c r="U65" s="1">
        <f>600+369.3+0.6+20-270.2</f>
        <v>719.7</v>
      </c>
      <c r="V65" s="1">
        <v>600</v>
      </c>
      <c r="W65" s="1">
        <v>600</v>
      </c>
      <c r="X65" s="1">
        <v>600</v>
      </c>
      <c r="Y65" s="1">
        <v>600</v>
      </c>
      <c r="Z65" s="1">
        <v>600</v>
      </c>
      <c r="AA65" s="62">
        <f>SUM(T65:Z65)</f>
        <v>5733.1</v>
      </c>
      <c r="AB65" s="61">
        <v>2024</v>
      </c>
      <c r="AC65" s="124"/>
    </row>
    <row r="66" spans="1:34" s="75" customFormat="1" ht="47.25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51" t="s">
        <v>91</v>
      </c>
      <c r="S66" s="41" t="s">
        <v>38</v>
      </c>
      <c r="T66" s="44">
        <v>1</v>
      </c>
      <c r="U66" s="44">
        <v>1</v>
      </c>
      <c r="V66" s="44">
        <v>1</v>
      </c>
      <c r="W66" s="44">
        <v>1</v>
      </c>
      <c r="X66" s="44">
        <v>1</v>
      </c>
      <c r="Y66" s="44">
        <v>1</v>
      </c>
      <c r="Z66" s="44">
        <v>1</v>
      </c>
      <c r="AA66" s="52">
        <v>1</v>
      </c>
      <c r="AB66" s="41">
        <v>2024</v>
      </c>
      <c r="AC66" s="33"/>
    </row>
    <row r="67" spans="1:34" s="75" customFormat="1" ht="31.5" x14ac:dyDescent="0.25">
      <c r="A67" s="57"/>
      <c r="B67" s="57"/>
      <c r="C67" s="57"/>
      <c r="D67" s="57" t="s">
        <v>18</v>
      </c>
      <c r="E67" s="57" t="s">
        <v>21</v>
      </c>
      <c r="F67" s="57" t="s">
        <v>18</v>
      </c>
      <c r="G67" s="57" t="s">
        <v>22</v>
      </c>
      <c r="H67" s="57" t="s">
        <v>19</v>
      </c>
      <c r="I67" s="57" t="s">
        <v>24</v>
      </c>
      <c r="J67" s="57" t="s">
        <v>18</v>
      </c>
      <c r="K67" s="57" t="s">
        <v>18</v>
      </c>
      <c r="L67" s="57" t="s">
        <v>19</v>
      </c>
      <c r="M67" s="57" t="s">
        <v>18</v>
      </c>
      <c r="N67" s="57" t="s">
        <v>18</v>
      </c>
      <c r="O67" s="57" t="s">
        <v>18</v>
      </c>
      <c r="P67" s="57" t="s">
        <v>18</v>
      </c>
      <c r="Q67" s="57" t="s">
        <v>18</v>
      </c>
      <c r="R67" s="71" t="s">
        <v>92</v>
      </c>
      <c r="S67" s="61" t="s">
        <v>0</v>
      </c>
      <c r="T67" s="62">
        <f t="shared" ref="T67:Y67" si="28">T69+T71+T76</f>
        <v>3922.5999999999995</v>
      </c>
      <c r="U67" s="62">
        <f t="shared" si="28"/>
        <v>4901.3</v>
      </c>
      <c r="V67" s="62">
        <f t="shared" si="28"/>
        <v>6362.6</v>
      </c>
      <c r="W67" s="62">
        <f t="shared" si="28"/>
        <v>6362.6</v>
      </c>
      <c r="X67" s="62">
        <f t="shared" si="28"/>
        <v>6362.6</v>
      </c>
      <c r="Y67" s="62">
        <f t="shared" si="28"/>
        <v>6362.6</v>
      </c>
      <c r="Z67" s="62">
        <f t="shared" ref="Z67" si="29">Z69+Z71+Z76</f>
        <v>6362.6</v>
      </c>
      <c r="AA67" s="62">
        <f>SUM(T67:Z67)</f>
        <v>40636.899999999994</v>
      </c>
      <c r="AB67" s="61">
        <v>2024</v>
      </c>
      <c r="AC67" s="124"/>
    </row>
    <row r="68" spans="1:34" s="54" customFormat="1" ht="31.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64" t="s">
        <v>93</v>
      </c>
      <c r="S68" s="146" t="s">
        <v>38</v>
      </c>
      <c r="T68" s="2">
        <f t="shared" ref="T68:Y68" si="30">T70+T75+T77</f>
        <v>20</v>
      </c>
      <c r="U68" s="2">
        <f t="shared" si="30"/>
        <v>20</v>
      </c>
      <c r="V68" s="2">
        <f t="shared" si="30"/>
        <v>20</v>
      </c>
      <c r="W68" s="2">
        <f t="shared" si="30"/>
        <v>20</v>
      </c>
      <c r="X68" s="2">
        <f t="shared" si="30"/>
        <v>20</v>
      </c>
      <c r="Y68" s="2">
        <f t="shared" si="30"/>
        <v>20</v>
      </c>
      <c r="Z68" s="2">
        <f t="shared" ref="Z68" si="31">Z70+Z75+Z77</f>
        <v>20</v>
      </c>
      <c r="AA68" s="52">
        <v>20</v>
      </c>
      <c r="AB68" s="41">
        <v>2024</v>
      </c>
      <c r="AC68" s="33"/>
    </row>
    <row r="69" spans="1:34" s="75" customFormat="1" ht="31.5" x14ac:dyDescent="0.25">
      <c r="A69" s="57" t="s">
        <v>18</v>
      </c>
      <c r="B69" s="57" t="s">
        <v>18</v>
      </c>
      <c r="C69" s="57" t="s">
        <v>22</v>
      </c>
      <c r="D69" s="57" t="s">
        <v>18</v>
      </c>
      <c r="E69" s="57" t="s">
        <v>21</v>
      </c>
      <c r="F69" s="57" t="s">
        <v>18</v>
      </c>
      <c r="G69" s="57" t="s">
        <v>22</v>
      </c>
      <c r="H69" s="57" t="s">
        <v>19</v>
      </c>
      <c r="I69" s="57" t="s">
        <v>24</v>
      </c>
      <c r="J69" s="57" t="s">
        <v>18</v>
      </c>
      <c r="K69" s="57" t="s">
        <v>18</v>
      </c>
      <c r="L69" s="57" t="s">
        <v>19</v>
      </c>
      <c r="M69" s="57" t="s">
        <v>18</v>
      </c>
      <c r="N69" s="57" t="s">
        <v>18</v>
      </c>
      <c r="O69" s="57" t="s">
        <v>18</v>
      </c>
      <c r="P69" s="57" t="s">
        <v>18</v>
      </c>
      <c r="Q69" s="57" t="s">
        <v>18</v>
      </c>
      <c r="R69" s="72" t="s">
        <v>94</v>
      </c>
      <c r="S69" s="58" t="s">
        <v>0</v>
      </c>
      <c r="T69" s="1">
        <f>2867.4-463.9-79-1000</f>
        <v>1324.5</v>
      </c>
      <c r="U69" s="1">
        <f>1867.4-227.9-273.9-31.9</f>
        <v>1333.6999999999998</v>
      </c>
      <c r="V69" s="1">
        <v>1867.4</v>
      </c>
      <c r="W69" s="1">
        <v>1867.4</v>
      </c>
      <c r="X69" s="1">
        <v>1867.4</v>
      </c>
      <c r="Y69" s="1">
        <v>1867.4</v>
      </c>
      <c r="Z69" s="1">
        <v>1867.4</v>
      </c>
      <c r="AA69" s="62">
        <f>SUM(T69:Z69)</f>
        <v>11995.199999999999</v>
      </c>
      <c r="AB69" s="61">
        <v>2024</v>
      </c>
      <c r="AC69" s="123"/>
      <c r="AD69" s="112"/>
      <c r="AE69" s="112"/>
      <c r="AG69" s="113"/>
      <c r="AH69" s="112"/>
    </row>
    <row r="70" spans="1:34" s="54" customFormat="1" ht="47.25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51" t="s">
        <v>95</v>
      </c>
      <c r="S70" s="41" t="s">
        <v>38</v>
      </c>
      <c r="T70" s="2">
        <v>14</v>
      </c>
      <c r="U70" s="2">
        <v>14</v>
      </c>
      <c r="V70" s="2">
        <v>14</v>
      </c>
      <c r="W70" s="2">
        <v>14</v>
      </c>
      <c r="X70" s="2">
        <v>14</v>
      </c>
      <c r="Y70" s="2">
        <v>14</v>
      </c>
      <c r="Z70" s="2">
        <v>14</v>
      </c>
      <c r="AA70" s="52">
        <v>14</v>
      </c>
      <c r="AB70" s="41">
        <v>2024</v>
      </c>
      <c r="AC70" s="33"/>
    </row>
    <row r="71" spans="1:34" s="75" customForma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152" t="s">
        <v>94</v>
      </c>
      <c r="S71" s="58" t="s">
        <v>0</v>
      </c>
      <c r="T71" s="1">
        <f>808-306.2</f>
        <v>501.8</v>
      </c>
      <c r="U71" s="1">
        <f>SUM(U72:U74)</f>
        <v>1483.3</v>
      </c>
      <c r="V71" s="1">
        <v>870.5</v>
      </c>
      <c r="W71" s="1">
        <v>870.5</v>
      </c>
      <c r="X71" s="1">
        <v>870.5</v>
      </c>
      <c r="Y71" s="1">
        <v>870.5</v>
      </c>
      <c r="Z71" s="1">
        <v>870.5</v>
      </c>
      <c r="AA71" s="62">
        <f>SUM(T71:Z71)</f>
        <v>6337.6</v>
      </c>
      <c r="AB71" s="61">
        <v>2024</v>
      </c>
      <c r="AC71" s="124"/>
    </row>
    <row r="72" spans="1:34" s="75" customFormat="1" x14ac:dyDescent="0.25">
      <c r="A72" s="57" t="s">
        <v>18</v>
      </c>
      <c r="B72" s="57" t="s">
        <v>18</v>
      </c>
      <c r="C72" s="57" t="s">
        <v>24</v>
      </c>
      <c r="D72" s="57" t="s">
        <v>18</v>
      </c>
      <c r="E72" s="57" t="s">
        <v>21</v>
      </c>
      <c r="F72" s="57" t="s">
        <v>18</v>
      </c>
      <c r="G72" s="57" t="s">
        <v>22</v>
      </c>
      <c r="H72" s="57" t="s">
        <v>19</v>
      </c>
      <c r="I72" s="57" t="s">
        <v>24</v>
      </c>
      <c r="J72" s="57" t="s">
        <v>18</v>
      </c>
      <c r="K72" s="57" t="s">
        <v>18</v>
      </c>
      <c r="L72" s="57" t="s">
        <v>19</v>
      </c>
      <c r="M72" s="57" t="s">
        <v>19</v>
      </c>
      <c r="N72" s="57" t="s">
        <v>18</v>
      </c>
      <c r="O72" s="57" t="s">
        <v>20</v>
      </c>
      <c r="P72" s="57" t="s">
        <v>184</v>
      </c>
      <c r="Q72" s="57" t="s">
        <v>18</v>
      </c>
      <c r="R72" s="152"/>
      <c r="S72" s="58" t="s">
        <v>0</v>
      </c>
      <c r="T72" s="1">
        <v>0</v>
      </c>
      <c r="U72" s="1">
        <v>685.2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62">
        <f t="shared" ref="AA72:AA74" si="32">SUM(T72:Z72)</f>
        <v>685.2</v>
      </c>
      <c r="AB72" s="61">
        <v>2019</v>
      </c>
      <c r="AC72" s="124"/>
    </row>
    <row r="73" spans="1:34" s="75" customFormat="1" x14ac:dyDescent="0.25">
      <c r="A73" s="57" t="s">
        <v>18</v>
      </c>
      <c r="B73" s="57" t="s">
        <v>18</v>
      </c>
      <c r="C73" s="57" t="s">
        <v>24</v>
      </c>
      <c r="D73" s="57" t="s">
        <v>18</v>
      </c>
      <c r="E73" s="57" t="s">
        <v>21</v>
      </c>
      <c r="F73" s="57" t="s">
        <v>18</v>
      </c>
      <c r="G73" s="57" t="s">
        <v>22</v>
      </c>
      <c r="H73" s="57" t="s">
        <v>19</v>
      </c>
      <c r="I73" s="57" t="s">
        <v>24</v>
      </c>
      <c r="J73" s="57" t="s">
        <v>18</v>
      </c>
      <c r="K73" s="57" t="s">
        <v>18</v>
      </c>
      <c r="L73" s="57" t="s">
        <v>19</v>
      </c>
      <c r="M73" s="57" t="s">
        <v>37</v>
      </c>
      <c r="N73" s="57" t="s">
        <v>18</v>
      </c>
      <c r="O73" s="57" t="s">
        <v>20</v>
      </c>
      <c r="P73" s="57" t="s">
        <v>184</v>
      </c>
      <c r="Q73" s="57" t="s">
        <v>18</v>
      </c>
      <c r="R73" s="152"/>
      <c r="S73" s="58" t="s">
        <v>0</v>
      </c>
      <c r="T73" s="1">
        <v>0</v>
      </c>
      <c r="U73" s="1">
        <f>685.2-212.4</f>
        <v>472.80000000000007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62">
        <f t="shared" si="32"/>
        <v>472.80000000000007</v>
      </c>
      <c r="AB73" s="61">
        <v>2019</v>
      </c>
      <c r="AC73" s="124"/>
    </row>
    <row r="74" spans="1:34" s="75" customFormat="1" x14ac:dyDescent="0.25">
      <c r="A74" s="57" t="s">
        <v>18</v>
      </c>
      <c r="B74" s="57" t="s">
        <v>18</v>
      </c>
      <c r="C74" s="57" t="s">
        <v>24</v>
      </c>
      <c r="D74" s="57" t="s">
        <v>18</v>
      </c>
      <c r="E74" s="57" t="s">
        <v>21</v>
      </c>
      <c r="F74" s="57" t="s">
        <v>18</v>
      </c>
      <c r="G74" s="57" t="s">
        <v>22</v>
      </c>
      <c r="H74" s="57" t="s">
        <v>19</v>
      </c>
      <c r="I74" s="57" t="s">
        <v>24</v>
      </c>
      <c r="J74" s="57" t="s">
        <v>18</v>
      </c>
      <c r="K74" s="57" t="s">
        <v>18</v>
      </c>
      <c r="L74" s="57" t="s">
        <v>19</v>
      </c>
      <c r="M74" s="57" t="s">
        <v>18</v>
      </c>
      <c r="N74" s="57" t="s">
        <v>18</v>
      </c>
      <c r="O74" s="57" t="s">
        <v>18</v>
      </c>
      <c r="P74" s="57" t="s">
        <v>18</v>
      </c>
      <c r="Q74" s="57" t="s">
        <v>18</v>
      </c>
      <c r="R74" s="152"/>
      <c r="S74" s="58" t="s">
        <v>0</v>
      </c>
      <c r="T74" s="1">
        <v>501.8</v>
      </c>
      <c r="U74" s="1">
        <v>325.3</v>
      </c>
      <c r="V74" s="1">
        <v>870.5</v>
      </c>
      <c r="W74" s="1">
        <v>870.5</v>
      </c>
      <c r="X74" s="1">
        <v>870.5</v>
      </c>
      <c r="Y74" s="1">
        <v>870.5</v>
      </c>
      <c r="Z74" s="1">
        <v>870.5</v>
      </c>
      <c r="AA74" s="62">
        <f t="shared" si="32"/>
        <v>5179.6000000000004</v>
      </c>
      <c r="AB74" s="61">
        <v>2024</v>
      </c>
      <c r="AC74" s="124"/>
    </row>
    <row r="75" spans="1:34" s="54" customFormat="1" ht="48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51" t="s">
        <v>96</v>
      </c>
      <c r="S75" s="41" t="s">
        <v>38</v>
      </c>
      <c r="T75" s="2">
        <v>1</v>
      </c>
      <c r="U75" s="2">
        <v>1</v>
      </c>
      <c r="V75" s="2">
        <v>1</v>
      </c>
      <c r="W75" s="2">
        <v>1</v>
      </c>
      <c r="X75" s="2">
        <v>1</v>
      </c>
      <c r="Y75" s="2">
        <v>1</v>
      </c>
      <c r="Z75" s="2">
        <v>1</v>
      </c>
      <c r="AA75" s="45">
        <v>1</v>
      </c>
      <c r="AB75" s="41">
        <v>2024</v>
      </c>
      <c r="AC75" s="131"/>
      <c r="AD75" s="112"/>
      <c r="AE75" s="53"/>
    </row>
    <row r="76" spans="1:34" s="75" customFormat="1" ht="31.5" x14ac:dyDescent="0.25">
      <c r="A76" s="57" t="s">
        <v>18</v>
      </c>
      <c r="B76" s="57" t="s">
        <v>18</v>
      </c>
      <c r="C76" s="57" t="s">
        <v>21</v>
      </c>
      <c r="D76" s="57" t="s">
        <v>18</v>
      </c>
      <c r="E76" s="57" t="s">
        <v>21</v>
      </c>
      <c r="F76" s="57" t="s">
        <v>18</v>
      </c>
      <c r="G76" s="57" t="s">
        <v>22</v>
      </c>
      <c r="H76" s="57" t="s">
        <v>19</v>
      </c>
      <c r="I76" s="57" t="s">
        <v>24</v>
      </c>
      <c r="J76" s="57" t="s">
        <v>18</v>
      </c>
      <c r="K76" s="57" t="s">
        <v>18</v>
      </c>
      <c r="L76" s="57" t="s">
        <v>19</v>
      </c>
      <c r="M76" s="57" t="s">
        <v>18</v>
      </c>
      <c r="N76" s="57" t="s">
        <v>18</v>
      </c>
      <c r="O76" s="57" t="s">
        <v>18</v>
      </c>
      <c r="P76" s="57" t="s">
        <v>18</v>
      </c>
      <c r="Q76" s="57" t="s">
        <v>18</v>
      </c>
      <c r="R76" s="72" t="s">
        <v>97</v>
      </c>
      <c r="S76" s="58" t="s">
        <v>0</v>
      </c>
      <c r="T76" s="1">
        <f>3665-832.4-710-26.3</f>
        <v>2096.2999999999997</v>
      </c>
      <c r="U76" s="1">
        <f>3624.7-120.3-282.1-1110.8-27.2</f>
        <v>2084.3000000000002</v>
      </c>
      <c r="V76" s="1">
        <v>3624.7</v>
      </c>
      <c r="W76" s="1">
        <v>3624.7</v>
      </c>
      <c r="X76" s="1">
        <v>3624.7</v>
      </c>
      <c r="Y76" s="1">
        <v>3624.7</v>
      </c>
      <c r="Z76" s="1">
        <v>3624.7</v>
      </c>
      <c r="AA76" s="62">
        <f>SUM(T76:Z76)</f>
        <v>22304.100000000002</v>
      </c>
      <c r="AB76" s="61">
        <v>2024</v>
      </c>
      <c r="AC76" s="124"/>
    </row>
    <row r="77" spans="1:34" s="75" customFormat="1" ht="48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51" t="s">
        <v>98</v>
      </c>
      <c r="S77" s="41" t="s">
        <v>38</v>
      </c>
      <c r="T77" s="44">
        <v>5</v>
      </c>
      <c r="U77" s="44">
        <v>5</v>
      </c>
      <c r="V77" s="44">
        <v>5</v>
      </c>
      <c r="W77" s="44">
        <v>5</v>
      </c>
      <c r="X77" s="44">
        <v>5</v>
      </c>
      <c r="Y77" s="44">
        <v>5</v>
      </c>
      <c r="Z77" s="44">
        <v>5</v>
      </c>
      <c r="AA77" s="52">
        <v>5</v>
      </c>
      <c r="AB77" s="41">
        <v>2024</v>
      </c>
      <c r="AC77" s="127"/>
      <c r="AD77" s="112"/>
    </row>
    <row r="78" spans="1:34" s="75" customFormat="1" ht="31.5" x14ac:dyDescent="0.25">
      <c r="A78" s="57"/>
      <c r="B78" s="57"/>
      <c r="C78" s="57"/>
      <c r="D78" s="57" t="s">
        <v>18</v>
      </c>
      <c r="E78" s="57" t="s">
        <v>21</v>
      </c>
      <c r="F78" s="57" t="s">
        <v>18</v>
      </c>
      <c r="G78" s="57" t="s">
        <v>22</v>
      </c>
      <c r="H78" s="57" t="s">
        <v>19</v>
      </c>
      <c r="I78" s="57" t="s">
        <v>24</v>
      </c>
      <c r="J78" s="57" t="s">
        <v>18</v>
      </c>
      <c r="K78" s="57" t="s">
        <v>18</v>
      </c>
      <c r="L78" s="57" t="s">
        <v>19</v>
      </c>
      <c r="M78" s="57" t="s">
        <v>18</v>
      </c>
      <c r="N78" s="57" t="s">
        <v>18</v>
      </c>
      <c r="O78" s="57" t="s">
        <v>18</v>
      </c>
      <c r="P78" s="57" t="s">
        <v>18</v>
      </c>
      <c r="Q78" s="57" t="s">
        <v>18</v>
      </c>
      <c r="R78" s="71" t="s">
        <v>99</v>
      </c>
      <c r="S78" s="61" t="s">
        <v>0</v>
      </c>
      <c r="T78" s="62">
        <f t="shared" ref="T78:Y78" si="33">T82+T86+T90+T94+T98</f>
        <v>4566.3999999999996</v>
      </c>
      <c r="U78" s="62">
        <f>U82+U86+U90+U94+U98</f>
        <v>7525.4000000000005</v>
      </c>
      <c r="V78" s="62">
        <f t="shared" si="33"/>
        <v>7799.6</v>
      </c>
      <c r="W78" s="62">
        <f t="shared" si="33"/>
        <v>7800</v>
      </c>
      <c r="X78" s="62">
        <f t="shared" si="33"/>
        <v>7800</v>
      </c>
      <c r="Y78" s="62">
        <f t="shared" si="33"/>
        <v>7800</v>
      </c>
      <c r="Z78" s="62">
        <f t="shared" ref="Z78" si="34">Z82+Z86+Z90+Z94+Z98</f>
        <v>7800</v>
      </c>
      <c r="AA78" s="62">
        <f>SUM(T78:Z78)</f>
        <v>51091.4</v>
      </c>
      <c r="AB78" s="61">
        <v>2024</v>
      </c>
      <c r="AC78" s="124"/>
    </row>
    <row r="79" spans="1:34" s="75" customFormat="1" ht="47.25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64" t="s">
        <v>100</v>
      </c>
      <c r="S79" s="146" t="s">
        <v>38</v>
      </c>
      <c r="T79" s="44">
        <f t="shared" ref="T79:Y80" si="35">T83+T87+T91+T95</f>
        <v>65</v>
      </c>
      <c r="U79" s="44">
        <f t="shared" si="35"/>
        <v>198</v>
      </c>
      <c r="V79" s="44">
        <f t="shared" si="35"/>
        <v>178</v>
      </c>
      <c r="W79" s="44">
        <f t="shared" si="35"/>
        <v>183</v>
      </c>
      <c r="X79" s="44">
        <f t="shared" si="35"/>
        <v>182</v>
      </c>
      <c r="Y79" s="44">
        <f t="shared" si="35"/>
        <v>182</v>
      </c>
      <c r="Z79" s="44">
        <f t="shared" ref="Z79" si="36">Z83+Z87+Z91+Z95</f>
        <v>182</v>
      </c>
      <c r="AA79" s="52">
        <f>SUM(T79:Z79)</f>
        <v>1170</v>
      </c>
      <c r="AB79" s="146">
        <v>2024</v>
      </c>
      <c r="AC79" s="33"/>
    </row>
    <row r="80" spans="1:34" s="75" customFormat="1" ht="31.5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64" t="s">
        <v>101</v>
      </c>
      <c r="S80" s="146" t="s">
        <v>38</v>
      </c>
      <c r="T80" s="44">
        <f t="shared" si="35"/>
        <v>16</v>
      </c>
      <c r="U80" s="44">
        <f t="shared" si="35"/>
        <v>16</v>
      </c>
      <c r="V80" s="44">
        <f t="shared" si="35"/>
        <v>17</v>
      </c>
      <c r="W80" s="44">
        <f t="shared" si="35"/>
        <v>17</v>
      </c>
      <c r="X80" s="44">
        <f t="shared" si="35"/>
        <v>17</v>
      </c>
      <c r="Y80" s="44">
        <f t="shared" si="35"/>
        <v>17</v>
      </c>
      <c r="Z80" s="44">
        <f t="shared" ref="Z80" si="37">Z84+Z88+Z92+Z96</f>
        <v>17</v>
      </c>
      <c r="AA80" s="52">
        <v>17</v>
      </c>
      <c r="AB80" s="146">
        <v>2024</v>
      </c>
      <c r="AC80" s="33"/>
    </row>
    <row r="81" spans="1:30" ht="46.9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4" t="s">
        <v>340</v>
      </c>
      <c r="S81" s="146" t="s">
        <v>38</v>
      </c>
      <c r="T81" s="44">
        <f>T85+T89+T93+T99+T97</f>
        <v>25</v>
      </c>
      <c r="U81" s="44">
        <f>U85+U89+U93+U99+U97</f>
        <v>77</v>
      </c>
      <c r="V81" s="44">
        <f>V85+V89+V93+V99+V97</f>
        <v>81</v>
      </c>
      <c r="W81" s="44">
        <f t="shared" ref="W81:Y81" si="38">W85+W89+W93+W99+W97</f>
        <v>54</v>
      </c>
      <c r="X81" s="44">
        <f t="shared" si="38"/>
        <v>54</v>
      </c>
      <c r="Y81" s="44">
        <f t="shared" si="38"/>
        <v>54</v>
      </c>
      <c r="Z81" s="44">
        <f t="shared" ref="Z81" si="39">Z85+Z89+Z93+Z99+Z97</f>
        <v>54</v>
      </c>
      <c r="AA81" s="52">
        <f>SUM(T81:Z81)</f>
        <v>399</v>
      </c>
      <c r="AB81" s="146">
        <v>2024</v>
      </c>
      <c r="AC81" s="127"/>
      <c r="AD81" s="105"/>
    </row>
    <row r="82" spans="1:30" ht="31.5" x14ac:dyDescent="0.25">
      <c r="A82" s="57" t="s">
        <v>18</v>
      </c>
      <c r="B82" s="57" t="s">
        <v>18</v>
      </c>
      <c r="C82" s="57" t="s">
        <v>22</v>
      </c>
      <c r="D82" s="57" t="s">
        <v>18</v>
      </c>
      <c r="E82" s="57" t="s">
        <v>21</v>
      </c>
      <c r="F82" s="57" t="s">
        <v>18</v>
      </c>
      <c r="G82" s="57" t="s">
        <v>22</v>
      </c>
      <c r="H82" s="57" t="s">
        <v>19</v>
      </c>
      <c r="I82" s="57" t="s">
        <v>24</v>
      </c>
      <c r="J82" s="57" t="s">
        <v>18</v>
      </c>
      <c r="K82" s="57" t="s">
        <v>18</v>
      </c>
      <c r="L82" s="57" t="s">
        <v>19</v>
      </c>
      <c r="M82" s="57" t="s">
        <v>18</v>
      </c>
      <c r="N82" s="57" t="s">
        <v>18</v>
      </c>
      <c r="O82" s="57" t="s">
        <v>18</v>
      </c>
      <c r="P82" s="57" t="s">
        <v>18</v>
      </c>
      <c r="Q82" s="57" t="s">
        <v>18</v>
      </c>
      <c r="R82" s="72" t="s">
        <v>102</v>
      </c>
      <c r="S82" s="58" t="s">
        <v>0</v>
      </c>
      <c r="T82" s="1">
        <f>1780.9-223.4+140-15.2</f>
        <v>1682.3</v>
      </c>
      <c r="U82" s="1">
        <f>1650-73+745.2</f>
        <v>2322.1999999999998</v>
      </c>
      <c r="V82" s="1">
        <v>1650</v>
      </c>
      <c r="W82" s="1">
        <v>1650</v>
      </c>
      <c r="X82" s="1">
        <v>1650</v>
      </c>
      <c r="Y82" s="1">
        <v>1650</v>
      </c>
      <c r="Z82" s="1">
        <v>1650</v>
      </c>
      <c r="AA82" s="62">
        <f>SUM(T82:Z82)</f>
        <v>12254.5</v>
      </c>
      <c r="AB82" s="61">
        <v>2024</v>
      </c>
      <c r="AC82" s="124"/>
    </row>
    <row r="83" spans="1:30" ht="46.1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4" t="s">
        <v>103</v>
      </c>
      <c r="S83" s="146" t="s">
        <v>38</v>
      </c>
      <c r="T83" s="2">
        <v>33</v>
      </c>
      <c r="U83" s="2">
        <v>38</v>
      </c>
      <c r="V83" s="2">
        <v>29</v>
      </c>
      <c r="W83" s="2">
        <v>33</v>
      </c>
      <c r="X83" s="2">
        <v>33</v>
      </c>
      <c r="Y83" s="2">
        <v>33</v>
      </c>
      <c r="Z83" s="2">
        <v>33</v>
      </c>
      <c r="AA83" s="52">
        <f>SUM(T83:Z83)</f>
        <v>232</v>
      </c>
      <c r="AB83" s="41">
        <v>2024</v>
      </c>
      <c r="AC83" s="33"/>
    </row>
    <row r="84" spans="1:30" ht="47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4" t="s">
        <v>104</v>
      </c>
      <c r="S84" s="146" t="s">
        <v>38</v>
      </c>
      <c r="T84" s="2">
        <v>4</v>
      </c>
      <c r="U84" s="2">
        <v>4</v>
      </c>
      <c r="V84" s="2">
        <v>4</v>
      </c>
      <c r="W84" s="2">
        <v>4</v>
      </c>
      <c r="X84" s="2">
        <v>4</v>
      </c>
      <c r="Y84" s="2">
        <v>4</v>
      </c>
      <c r="Z84" s="2">
        <v>4</v>
      </c>
      <c r="AA84" s="45">
        <v>4</v>
      </c>
      <c r="AB84" s="41">
        <v>2024</v>
      </c>
      <c r="AC84" s="33"/>
    </row>
    <row r="85" spans="1:30" ht="63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4" t="s">
        <v>341</v>
      </c>
      <c r="S85" s="146" t="s">
        <v>38</v>
      </c>
      <c r="T85" s="44">
        <v>0</v>
      </c>
      <c r="U85" s="44">
        <v>29</v>
      </c>
      <c r="V85" s="44">
        <v>25</v>
      </c>
      <c r="W85" s="44">
        <v>13</v>
      </c>
      <c r="X85" s="44">
        <v>13</v>
      </c>
      <c r="Y85" s="44">
        <v>13</v>
      </c>
      <c r="Z85" s="44">
        <v>13</v>
      </c>
      <c r="AA85" s="52">
        <f>SUM(T85:Z85)</f>
        <v>106</v>
      </c>
      <c r="AB85" s="41">
        <v>2024</v>
      </c>
      <c r="AC85" s="127"/>
      <c r="AD85" s="105"/>
    </row>
    <row r="86" spans="1:30" ht="31.5" x14ac:dyDescent="0.25">
      <c r="A86" s="57" t="s">
        <v>18</v>
      </c>
      <c r="B86" s="57" t="s">
        <v>18</v>
      </c>
      <c r="C86" s="57" t="s">
        <v>24</v>
      </c>
      <c r="D86" s="57" t="s">
        <v>18</v>
      </c>
      <c r="E86" s="57" t="s">
        <v>21</v>
      </c>
      <c r="F86" s="57" t="s">
        <v>18</v>
      </c>
      <c r="G86" s="57" t="s">
        <v>22</v>
      </c>
      <c r="H86" s="57" t="s">
        <v>19</v>
      </c>
      <c r="I86" s="57" t="s">
        <v>24</v>
      </c>
      <c r="J86" s="57" t="s">
        <v>18</v>
      </c>
      <c r="K86" s="57" t="s">
        <v>18</v>
      </c>
      <c r="L86" s="57" t="s">
        <v>19</v>
      </c>
      <c r="M86" s="57" t="s">
        <v>18</v>
      </c>
      <c r="N86" s="57" t="s">
        <v>18</v>
      </c>
      <c r="O86" s="57" t="s">
        <v>18</v>
      </c>
      <c r="P86" s="57" t="s">
        <v>18</v>
      </c>
      <c r="Q86" s="57" t="s">
        <v>18</v>
      </c>
      <c r="R86" s="72" t="s">
        <v>105</v>
      </c>
      <c r="S86" s="58" t="s">
        <v>0</v>
      </c>
      <c r="T86" s="1">
        <f>1051.4-28.4-48.1</f>
        <v>974.90000000000009</v>
      </c>
      <c r="U86" s="1">
        <f>1450-14.6</f>
        <v>1435.4</v>
      </c>
      <c r="V86" s="1">
        <v>1450</v>
      </c>
      <c r="W86" s="1">
        <v>1450</v>
      </c>
      <c r="X86" s="1">
        <v>1450</v>
      </c>
      <c r="Y86" s="1">
        <v>1450</v>
      </c>
      <c r="Z86" s="1">
        <v>1450</v>
      </c>
      <c r="AA86" s="62">
        <f>SUM(T86:Z86)</f>
        <v>9660.2999999999993</v>
      </c>
      <c r="AB86" s="61">
        <v>2024</v>
      </c>
      <c r="AC86" s="123"/>
      <c r="AD86" s="112"/>
    </row>
    <row r="87" spans="1:30" ht="48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4" t="s">
        <v>274</v>
      </c>
      <c r="S87" s="146" t="s">
        <v>38</v>
      </c>
      <c r="T87" s="44">
        <v>4</v>
      </c>
      <c r="U87" s="44">
        <v>58</v>
      </c>
      <c r="V87" s="44">
        <v>8</v>
      </c>
      <c r="W87" s="44">
        <v>8</v>
      </c>
      <c r="X87" s="44">
        <v>8</v>
      </c>
      <c r="Y87" s="44">
        <v>8</v>
      </c>
      <c r="Z87" s="44">
        <v>8</v>
      </c>
      <c r="AA87" s="52">
        <f>SUM(T87:Z87)</f>
        <v>102</v>
      </c>
      <c r="AB87" s="41">
        <v>2024</v>
      </c>
      <c r="AC87" s="33"/>
    </row>
    <row r="88" spans="1:30" s="8" customFormat="1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4" t="s">
        <v>275</v>
      </c>
      <c r="S88" s="146" t="s">
        <v>38</v>
      </c>
      <c r="T88" s="44">
        <v>5</v>
      </c>
      <c r="U88" s="44">
        <v>5</v>
      </c>
      <c r="V88" s="44">
        <v>5</v>
      </c>
      <c r="W88" s="44">
        <v>5</v>
      </c>
      <c r="X88" s="44">
        <v>5</v>
      </c>
      <c r="Y88" s="44">
        <v>5</v>
      </c>
      <c r="Z88" s="44">
        <v>5</v>
      </c>
      <c r="AA88" s="52">
        <v>5</v>
      </c>
      <c r="AB88" s="41">
        <v>2024</v>
      </c>
      <c r="AC88" s="127"/>
      <c r="AD88" s="105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4" t="s">
        <v>342</v>
      </c>
      <c r="S89" s="146" t="s">
        <v>38</v>
      </c>
      <c r="T89" s="44">
        <v>0</v>
      </c>
      <c r="U89" s="44">
        <v>16</v>
      </c>
      <c r="V89" s="44">
        <v>16</v>
      </c>
      <c r="W89" s="44">
        <v>16</v>
      </c>
      <c r="X89" s="44">
        <v>16</v>
      </c>
      <c r="Y89" s="44">
        <v>16</v>
      </c>
      <c r="Z89" s="44">
        <v>16</v>
      </c>
      <c r="AA89" s="52">
        <f>SUM(T89:Z89)</f>
        <v>96</v>
      </c>
      <c r="AB89" s="41">
        <v>2024</v>
      </c>
      <c r="AC89" s="127"/>
      <c r="AD89" s="105"/>
    </row>
    <row r="90" spans="1:30" ht="31.5" x14ac:dyDescent="0.25">
      <c r="A90" s="57" t="s">
        <v>18</v>
      </c>
      <c r="B90" s="57" t="s">
        <v>18</v>
      </c>
      <c r="C90" s="57" t="s">
        <v>21</v>
      </c>
      <c r="D90" s="57" t="s">
        <v>18</v>
      </c>
      <c r="E90" s="57" t="s">
        <v>21</v>
      </c>
      <c r="F90" s="57" t="s">
        <v>18</v>
      </c>
      <c r="G90" s="57" t="s">
        <v>22</v>
      </c>
      <c r="H90" s="57" t="s">
        <v>19</v>
      </c>
      <c r="I90" s="57" t="s">
        <v>24</v>
      </c>
      <c r="J90" s="57" t="s">
        <v>18</v>
      </c>
      <c r="K90" s="57" t="s">
        <v>18</v>
      </c>
      <c r="L90" s="57" t="s">
        <v>19</v>
      </c>
      <c r="M90" s="57" t="s">
        <v>18</v>
      </c>
      <c r="N90" s="57" t="s">
        <v>18</v>
      </c>
      <c r="O90" s="57" t="s">
        <v>18</v>
      </c>
      <c r="P90" s="57" t="s">
        <v>18</v>
      </c>
      <c r="Q90" s="57" t="s">
        <v>18</v>
      </c>
      <c r="R90" s="72" t="s">
        <v>105</v>
      </c>
      <c r="S90" s="58" t="s">
        <v>0</v>
      </c>
      <c r="T90" s="1">
        <f>1351.9-396.7-310.9-34</f>
        <v>610.30000000000007</v>
      </c>
      <c r="U90" s="1">
        <f>1750-198.6-29.9</f>
        <v>1521.5</v>
      </c>
      <c r="V90" s="1">
        <v>1749.6</v>
      </c>
      <c r="W90" s="1">
        <v>1750</v>
      </c>
      <c r="X90" s="1">
        <v>1750</v>
      </c>
      <c r="Y90" s="1">
        <v>1750</v>
      </c>
      <c r="Z90" s="1">
        <v>1750</v>
      </c>
      <c r="AA90" s="62">
        <f>SUM(T90:Z90)</f>
        <v>10881.4</v>
      </c>
      <c r="AB90" s="61">
        <v>2024</v>
      </c>
      <c r="AC90" s="123"/>
      <c r="AD90" s="105"/>
    </row>
    <row r="91" spans="1:30" ht="47.2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4" t="s">
        <v>276</v>
      </c>
      <c r="S91" s="146" t="s">
        <v>38</v>
      </c>
      <c r="T91" s="2">
        <v>21</v>
      </c>
      <c r="U91" s="2">
        <v>95</v>
      </c>
      <c r="V91" s="2">
        <v>19</v>
      </c>
      <c r="W91" s="2">
        <v>20</v>
      </c>
      <c r="X91" s="2">
        <v>19</v>
      </c>
      <c r="Y91" s="2">
        <v>19</v>
      </c>
      <c r="Z91" s="2">
        <v>19</v>
      </c>
      <c r="AA91" s="52">
        <f>SUM(T91:Z91)</f>
        <v>212</v>
      </c>
      <c r="AB91" s="41">
        <v>2024</v>
      </c>
      <c r="AC91" s="127"/>
      <c r="AD91" s="105"/>
    </row>
    <row r="92" spans="1:30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4" t="s">
        <v>277</v>
      </c>
      <c r="S92" s="146" t="s">
        <v>38</v>
      </c>
      <c r="T92" s="2">
        <v>4</v>
      </c>
      <c r="U92" s="2">
        <v>5</v>
      </c>
      <c r="V92" s="2">
        <v>5</v>
      </c>
      <c r="W92" s="2">
        <v>5</v>
      </c>
      <c r="X92" s="2">
        <v>5</v>
      </c>
      <c r="Y92" s="2">
        <v>5</v>
      </c>
      <c r="Z92" s="2">
        <v>5</v>
      </c>
      <c r="AA92" s="45">
        <v>5</v>
      </c>
      <c r="AB92" s="41">
        <v>2024</v>
      </c>
      <c r="AC92" s="131"/>
      <c r="AD92" s="105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4" t="s">
        <v>343</v>
      </c>
      <c r="S93" s="146" t="s">
        <v>38</v>
      </c>
      <c r="T93" s="44">
        <v>0</v>
      </c>
      <c r="U93" s="44">
        <v>16</v>
      </c>
      <c r="V93" s="44">
        <v>27</v>
      </c>
      <c r="W93" s="44">
        <v>10</v>
      </c>
      <c r="X93" s="44">
        <v>10</v>
      </c>
      <c r="Y93" s="44">
        <v>10</v>
      </c>
      <c r="Z93" s="44">
        <v>10</v>
      </c>
      <c r="AA93" s="52">
        <f>SUM(T93:Z93)</f>
        <v>83</v>
      </c>
      <c r="AB93" s="41">
        <v>2024</v>
      </c>
      <c r="AC93" s="127"/>
      <c r="AD93" s="105"/>
    </row>
    <row r="94" spans="1:30" ht="31.5" x14ac:dyDescent="0.25">
      <c r="A94" s="57" t="s">
        <v>18</v>
      </c>
      <c r="B94" s="57" t="s">
        <v>18</v>
      </c>
      <c r="C94" s="57" t="s">
        <v>25</v>
      </c>
      <c r="D94" s="57" t="s">
        <v>18</v>
      </c>
      <c r="E94" s="57" t="s">
        <v>21</v>
      </c>
      <c r="F94" s="57" t="s">
        <v>18</v>
      </c>
      <c r="G94" s="57" t="s">
        <v>22</v>
      </c>
      <c r="H94" s="57" t="s">
        <v>19</v>
      </c>
      <c r="I94" s="57" t="s">
        <v>24</v>
      </c>
      <c r="J94" s="57" t="s">
        <v>18</v>
      </c>
      <c r="K94" s="57" t="s">
        <v>18</v>
      </c>
      <c r="L94" s="57" t="s">
        <v>19</v>
      </c>
      <c r="M94" s="57" t="s">
        <v>18</v>
      </c>
      <c r="N94" s="57" t="s">
        <v>18</v>
      </c>
      <c r="O94" s="57" t="s">
        <v>18</v>
      </c>
      <c r="P94" s="57" t="s">
        <v>18</v>
      </c>
      <c r="Q94" s="57" t="s">
        <v>18</v>
      </c>
      <c r="R94" s="72" t="s">
        <v>102</v>
      </c>
      <c r="S94" s="58" t="s">
        <v>0</v>
      </c>
      <c r="T94" s="1">
        <f>4141.3-300-1489-672.7-86.2-669.2</f>
        <v>924.2</v>
      </c>
      <c r="U94" s="1">
        <f>2950-369.3-0.6-50-20-366-142.8</f>
        <v>2001.3</v>
      </c>
      <c r="V94" s="1">
        <v>2950</v>
      </c>
      <c r="W94" s="1">
        <v>2950</v>
      </c>
      <c r="X94" s="1">
        <v>2950</v>
      </c>
      <c r="Y94" s="1">
        <v>2950</v>
      </c>
      <c r="Z94" s="1">
        <v>2950</v>
      </c>
      <c r="AA94" s="62">
        <f>SUM(T94:Z94)</f>
        <v>17675.5</v>
      </c>
      <c r="AB94" s="61">
        <v>2024</v>
      </c>
      <c r="AC94" s="124"/>
    </row>
    <row r="95" spans="1:30" ht="46.9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 t="s">
        <v>278</v>
      </c>
      <c r="S95" s="146" t="s">
        <v>38</v>
      </c>
      <c r="T95" s="44">
        <v>7</v>
      </c>
      <c r="U95" s="44">
        <v>7</v>
      </c>
      <c r="V95" s="44">
        <v>122</v>
      </c>
      <c r="W95" s="44">
        <v>122</v>
      </c>
      <c r="X95" s="44">
        <v>122</v>
      </c>
      <c r="Y95" s="44">
        <v>122</v>
      </c>
      <c r="Z95" s="44">
        <v>122</v>
      </c>
      <c r="AA95" s="52">
        <f>SUM(T95:Z95)</f>
        <v>624</v>
      </c>
      <c r="AB95" s="41">
        <v>2024</v>
      </c>
      <c r="AC95" s="33"/>
    </row>
    <row r="96" spans="1:30" ht="47.25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 t="s">
        <v>279</v>
      </c>
      <c r="S96" s="41" t="s">
        <v>38</v>
      </c>
      <c r="T96" s="44">
        <v>3</v>
      </c>
      <c r="U96" s="44">
        <v>2</v>
      </c>
      <c r="V96" s="44">
        <v>3</v>
      </c>
      <c r="W96" s="44">
        <v>3</v>
      </c>
      <c r="X96" s="44">
        <v>3</v>
      </c>
      <c r="Y96" s="44">
        <v>3</v>
      </c>
      <c r="Z96" s="44">
        <v>3</v>
      </c>
      <c r="AA96" s="52">
        <v>3</v>
      </c>
      <c r="AB96" s="41">
        <v>2024</v>
      </c>
      <c r="AC96" s="127"/>
      <c r="AD96" s="105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4" t="s">
        <v>344</v>
      </c>
      <c r="S97" s="146" t="s">
        <v>38</v>
      </c>
      <c r="T97" s="44">
        <v>0</v>
      </c>
      <c r="U97" s="44">
        <v>15</v>
      </c>
      <c r="V97" s="44">
        <v>13</v>
      </c>
      <c r="W97" s="44">
        <v>15</v>
      </c>
      <c r="X97" s="44">
        <v>15</v>
      </c>
      <c r="Y97" s="44">
        <v>15</v>
      </c>
      <c r="Z97" s="44">
        <v>15</v>
      </c>
      <c r="AA97" s="52">
        <f>SUM(T97:Z97)</f>
        <v>88</v>
      </c>
      <c r="AB97" s="41">
        <v>2024</v>
      </c>
      <c r="AC97" s="127"/>
      <c r="AD97" s="105"/>
    </row>
    <row r="98" spans="1:31" ht="31.5" x14ac:dyDescent="0.25">
      <c r="A98" s="57" t="s">
        <v>18</v>
      </c>
      <c r="B98" s="57" t="s">
        <v>19</v>
      </c>
      <c r="C98" s="57" t="s">
        <v>24</v>
      </c>
      <c r="D98" s="57" t="s">
        <v>18</v>
      </c>
      <c r="E98" s="57" t="s">
        <v>21</v>
      </c>
      <c r="F98" s="57" t="s">
        <v>18</v>
      </c>
      <c r="G98" s="57" t="s">
        <v>22</v>
      </c>
      <c r="H98" s="57" t="s">
        <v>19</v>
      </c>
      <c r="I98" s="57" t="s">
        <v>24</v>
      </c>
      <c r="J98" s="57" t="s">
        <v>18</v>
      </c>
      <c r="K98" s="57" t="s">
        <v>18</v>
      </c>
      <c r="L98" s="57" t="s">
        <v>19</v>
      </c>
      <c r="M98" s="57" t="s">
        <v>18</v>
      </c>
      <c r="N98" s="57" t="s">
        <v>18</v>
      </c>
      <c r="O98" s="57" t="s">
        <v>18</v>
      </c>
      <c r="P98" s="57" t="s">
        <v>18</v>
      </c>
      <c r="Q98" s="57" t="s">
        <v>18</v>
      </c>
      <c r="R98" s="72" t="s">
        <v>102</v>
      </c>
      <c r="S98" s="58" t="s">
        <v>0</v>
      </c>
      <c r="T98" s="1">
        <f>236-236+500-125.3</f>
        <v>374.7</v>
      </c>
      <c r="U98" s="1">
        <f>0+229+48-32</f>
        <v>245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62">
        <f>SUM(T98:Z98)</f>
        <v>619.70000000000005</v>
      </c>
      <c r="AB98" s="61">
        <v>2019</v>
      </c>
      <c r="AC98" s="127"/>
      <c r="AD98" s="105"/>
    </row>
    <row r="99" spans="1:31" ht="63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4" t="s">
        <v>347</v>
      </c>
      <c r="S99" s="146" t="s">
        <v>38</v>
      </c>
      <c r="T99" s="44">
        <v>25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45">
        <f>SUM(T99:Z99)</f>
        <v>26</v>
      </c>
      <c r="AB99" s="41">
        <v>2019</v>
      </c>
      <c r="AC99" s="127"/>
      <c r="AD99" s="105"/>
    </row>
    <row r="100" spans="1:31" ht="31.5" x14ac:dyDescent="0.25">
      <c r="A100" s="57" t="s">
        <v>18</v>
      </c>
      <c r="B100" s="57" t="s">
        <v>19</v>
      </c>
      <c r="C100" s="57" t="s">
        <v>20</v>
      </c>
      <c r="D100" s="57" t="s">
        <v>18</v>
      </c>
      <c r="E100" s="57" t="s">
        <v>21</v>
      </c>
      <c r="F100" s="57" t="s">
        <v>18</v>
      </c>
      <c r="G100" s="57" t="s">
        <v>22</v>
      </c>
      <c r="H100" s="57" t="s">
        <v>19</v>
      </c>
      <c r="I100" s="57" t="s">
        <v>24</v>
      </c>
      <c r="J100" s="57" t="s">
        <v>18</v>
      </c>
      <c r="K100" s="57" t="s">
        <v>18</v>
      </c>
      <c r="L100" s="57" t="s">
        <v>19</v>
      </c>
      <c r="M100" s="57" t="s">
        <v>18</v>
      </c>
      <c r="N100" s="57" t="s">
        <v>18</v>
      </c>
      <c r="O100" s="57" t="s">
        <v>18</v>
      </c>
      <c r="P100" s="57" t="s">
        <v>18</v>
      </c>
      <c r="Q100" s="57" t="s">
        <v>18</v>
      </c>
      <c r="R100" s="144" t="s">
        <v>106</v>
      </c>
      <c r="S100" s="61" t="s">
        <v>0</v>
      </c>
      <c r="T100" s="62">
        <f>99204.4+25748.3-45-48-10</f>
        <v>124849.7</v>
      </c>
      <c r="U100" s="62">
        <f>98382.7+162290.6-3301.8</f>
        <v>257371.5</v>
      </c>
      <c r="V100" s="62">
        <v>180545.5</v>
      </c>
      <c r="W100" s="62">
        <v>112731.1</v>
      </c>
      <c r="X100" s="62">
        <v>112731.1</v>
      </c>
      <c r="Y100" s="62">
        <v>95888</v>
      </c>
      <c r="Z100" s="62">
        <v>95888</v>
      </c>
      <c r="AA100" s="62">
        <f>SUM(T100:Z100)</f>
        <v>980004.89999999991</v>
      </c>
      <c r="AB100" s="61">
        <v>2024</v>
      </c>
      <c r="AC100" s="123"/>
      <c r="AD100" s="105"/>
    </row>
    <row r="101" spans="1:31" ht="33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4" t="s">
        <v>107</v>
      </c>
      <c r="S101" s="146" t="s">
        <v>50</v>
      </c>
      <c r="T101" s="2">
        <v>21452</v>
      </c>
      <c r="U101" s="2">
        <v>21713</v>
      </c>
      <c r="V101" s="2">
        <v>21713</v>
      </c>
      <c r="W101" s="2">
        <v>21713</v>
      </c>
      <c r="X101" s="2">
        <v>21713</v>
      </c>
      <c r="Y101" s="2">
        <v>21713</v>
      </c>
      <c r="Z101" s="2">
        <v>21713</v>
      </c>
      <c r="AA101" s="52">
        <f>Y101</f>
        <v>21713</v>
      </c>
      <c r="AB101" s="41">
        <v>2024</v>
      </c>
      <c r="AC101" s="127"/>
      <c r="AD101" s="112"/>
      <c r="AE101" s="112"/>
    </row>
    <row r="102" spans="1:31" ht="46.9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4" t="s">
        <v>108</v>
      </c>
      <c r="S102" s="146" t="s">
        <v>9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5">
        <v>95</v>
      </c>
      <c r="AB102" s="41">
        <v>2024</v>
      </c>
      <c r="AC102" s="33"/>
    </row>
    <row r="103" spans="1:31" ht="31.5" x14ac:dyDescent="0.25">
      <c r="A103" s="57"/>
      <c r="B103" s="57"/>
      <c r="C103" s="57"/>
      <c r="D103" s="57" t="s">
        <v>18</v>
      </c>
      <c r="E103" s="57" t="s">
        <v>21</v>
      </c>
      <c r="F103" s="57" t="s">
        <v>18</v>
      </c>
      <c r="G103" s="57" t="s">
        <v>22</v>
      </c>
      <c r="H103" s="57" t="s">
        <v>19</v>
      </c>
      <c r="I103" s="57" t="s">
        <v>24</v>
      </c>
      <c r="J103" s="57" t="s">
        <v>18</v>
      </c>
      <c r="K103" s="57" t="s">
        <v>18</v>
      </c>
      <c r="L103" s="57" t="s">
        <v>19</v>
      </c>
      <c r="M103" s="57" t="s">
        <v>18</v>
      </c>
      <c r="N103" s="57" t="s">
        <v>18</v>
      </c>
      <c r="O103" s="57" t="s">
        <v>18</v>
      </c>
      <c r="P103" s="57" t="s">
        <v>18</v>
      </c>
      <c r="Q103" s="57" t="s">
        <v>18</v>
      </c>
      <c r="R103" s="71" t="s">
        <v>109</v>
      </c>
      <c r="S103" s="61" t="s">
        <v>0</v>
      </c>
      <c r="T103" s="62">
        <f t="shared" ref="T103:Y104" si="40">T105+T107+T109+T111</f>
        <v>1880.0999999999997</v>
      </c>
      <c r="U103" s="62">
        <f t="shared" si="40"/>
        <v>1976</v>
      </c>
      <c r="V103" s="62">
        <f t="shared" si="40"/>
        <v>2698.2</v>
      </c>
      <c r="W103" s="62">
        <f t="shared" si="40"/>
        <v>2397.6999999999998</v>
      </c>
      <c r="X103" s="62">
        <f t="shared" si="40"/>
        <v>2397.6999999999998</v>
      </c>
      <c r="Y103" s="62">
        <f t="shared" si="40"/>
        <v>2397.6999999999998</v>
      </c>
      <c r="Z103" s="62">
        <f t="shared" ref="Z103" si="41">Z105+Z107+Z109+Z111</f>
        <v>2397.6999999999998</v>
      </c>
      <c r="AA103" s="62">
        <f t="shared" ref="AA103:AA112" si="42">SUM(T103:Z103)</f>
        <v>16145.100000000002</v>
      </c>
      <c r="AB103" s="61">
        <v>2024</v>
      </c>
      <c r="AC103" s="124"/>
    </row>
    <row r="104" spans="1:31" ht="47.25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 t="s">
        <v>110</v>
      </c>
      <c r="S104" s="41" t="s">
        <v>38</v>
      </c>
      <c r="T104" s="44">
        <f t="shared" si="40"/>
        <v>61</v>
      </c>
      <c r="U104" s="44">
        <f t="shared" si="40"/>
        <v>147</v>
      </c>
      <c r="V104" s="44">
        <f t="shared" si="40"/>
        <v>116</v>
      </c>
      <c r="W104" s="44">
        <f t="shared" si="40"/>
        <v>84</v>
      </c>
      <c r="X104" s="44">
        <f t="shared" si="40"/>
        <v>84</v>
      </c>
      <c r="Y104" s="44">
        <f t="shared" si="40"/>
        <v>84</v>
      </c>
      <c r="Z104" s="44">
        <f t="shared" ref="Z104" si="43">Z106+Z108+Z110+Z112</f>
        <v>84</v>
      </c>
      <c r="AA104" s="52">
        <f t="shared" si="42"/>
        <v>660</v>
      </c>
      <c r="AB104" s="41">
        <v>2024</v>
      </c>
      <c r="AC104" s="127"/>
      <c r="AD104" s="105"/>
    </row>
    <row r="105" spans="1:31" ht="31.5" x14ac:dyDescent="0.25">
      <c r="A105" s="57" t="s">
        <v>18</v>
      </c>
      <c r="B105" s="57" t="s">
        <v>18</v>
      </c>
      <c r="C105" s="57" t="s">
        <v>22</v>
      </c>
      <c r="D105" s="57" t="s">
        <v>18</v>
      </c>
      <c r="E105" s="57" t="s">
        <v>21</v>
      </c>
      <c r="F105" s="57" t="s">
        <v>18</v>
      </c>
      <c r="G105" s="57" t="s">
        <v>22</v>
      </c>
      <c r="H105" s="57" t="s">
        <v>19</v>
      </c>
      <c r="I105" s="57" t="s">
        <v>24</v>
      </c>
      <c r="J105" s="57" t="s">
        <v>18</v>
      </c>
      <c r="K105" s="57" t="s">
        <v>18</v>
      </c>
      <c r="L105" s="57" t="s">
        <v>19</v>
      </c>
      <c r="M105" s="57" t="s">
        <v>18</v>
      </c>
      <c r="N105" s="57" t="s">
        <v>18</v>
      </c>
      <c r="O105" s="57" t="s">
        <v>18</v>
      </c>
      <c r="P105" s="57" t="s">
        <v>18</v>
      </c>
      <c r="Q105" s="57" t="s">
        <v>18</v>
      </c>
      <c r="R105" s="72" t="s">
        <v>111</v>
      </c>
      <c r="S105" s="58" t="s">
        <v>0</v>
      </c>
      <c r="T105" s="1">
        <f>92-9.2+105.5-26.8</f>
        <v>161.5</v>
      </c>
      <c r="U105" s="1">
        <f>1092-122.4</f>
        <v>969.6</v>
      </c>
      <c r="V105" s="1">
        <v>1092</v>
      </c>
      <c r="W105" s="1">
        <v>1092</v>
      </c>
      <c r="X105" s="1">
        <v>1092</v>
      </c>
      <c r="Y105" s="1">
        <v>1092</v>
      </c>
      <c r="Z105" s="1">
        <v>1092</v>
      </c>
      <c r="AA105" s="62">
        <f t="shared" si="42"/>
        <v>6591.1</v>
      </c>
      <c r="AB105" s="61">
        <v>2024</v>
      </c>
      <c r="AC105" s="124"/>
    </row>
    <row r="106" spans="1:31" ht="47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77" t="s">
        <v>112</v>
      </c>
      <c r="S106" s="146" t="s">
        <v>38</v>
      </c>
      <c r="T106" s="44">
        <f>4+4</f>
        <v>8</v>
      </c>
      <c r="U106" s="44">
        <f>29+21</f>
        <v>50</v>
      </c>
      <c r="V106" s="44">
        <v>29</v>
      </c>
      <c r="W106" s="44">
        <v>29</v>
      </c>
      <c r="X106" s="44">
        <v>29</v>
      </c>
      <c r="Y106" s="44">
        <v>29</v>
      </c>
      <c r="Z106" s="44">
        <v>29</v>
      </c>
      <c r="AA106" s="52">
        <f t="shared" si="42"/>
        <v>203</v>
      </c>
      <c r="AB106" s="41">
        <v>2024</v>
      </c>
      <c r="AC106" s="131"/>
      <c r="AD106" s="112"/>
    </row>
    <row r="107" spans="1:31" ht="31.5" x14ac:dyDescent="0.25">
      <c r="A107" s="57" t="s">
        <v>18</v>
      </c>
      <c r="B107" s="57" t="s">
        <v>18</v>
      </c>
      <c r="C107" s="57" t="s">
        <v>24</v>
      </c>
      <c r="D107" s="57" t="s">
        <v>18</v>
      </c>
      <c r="E107" s="57" t="s">
        <v>21</v>
      </c>
      <c r="F107" s="57" t="s">
        <v>18</v>
      </c>
      <c r="G107" s="57" t="s">
        <v>22</v>
      </c>
      <c r="H107" s="57" t="s">
        <v>19</v>
      </c>
      <c r="I107" s="57" t="s">
        <v>24</v>
      </c>
      <c r="J107" s="57" t="s">
        <v>18</v>
      </c>
      <c r="K107" s="57" t="s">
        <v>18</v>
      </c>
      <c r="L107" s="57" t="s">
        <v>19</v>
      </c>
      <c r="M107" s="57" t="s">
        <v>18</v>
      </c>
      <c r="N107" s="57" t="s">
        <v>18</v>
      </c>
      <c r="O107" s="57" t="s">
        <v>18</v>
      </c>
      <c r="P107" s="57" t="s">
        <v>18</v>
      </c>
      <c r="Q107" s="57" t="s">
        <v>18</v>
      </c>
      <c r="R107" s="72" t="s">
        <v>111</v>
      </c>
      <c r="S107" s="58" t="s">
        <v>0</v>
      </c>
      <c r="T107" s="1">
        <f>1135.8-126-115.2-44.7</f>
        <v>849.89999999999986</v>
      </c>
      <c r="U107" s="1">
        <f>630.5-140-173</f>
        <v>317.5</v>
      </c>
      <c r="V107" s="1">
        <v>630.5</v>
      </c>
      <c r="W107" s="1">
        <v>630.5</v>
      </c>
      <c r="X107" s="1">
        <v>630.5</v>
      </c>
      <c r="Y107" s="1">
        <v>630.5</v>
      </c>
      <c r="Z107" s="1">
        <v>630.5</v>
      </c>
      <c r="AA107" s="62">
        <f t="shared" si="42"/>
        <v>4319.8999999999996</v>
      </c>
      <c r="AB107" s="61">
        <v>2024</v>
      </c>
      <c r="AC107" s="126"/>
      <c r="AD107" s="105"/>
    </row>
    <row r="108" spans="1:31" ht="47.25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64" t="s">
        <v>113</v>
      </c>
      <c r="S108" s="146" t="s">
        <v>38</v>
      </c>
      <c r="T108" s="44">
        <v>26</v>
      </c>
      <c r="U108" s="44">
        <v>62</v>
      </c>
      <c r="V108" s="44">
        <v>20</v>
      </c>
      <c r="W108" s="44">
        <v>20</v>
      </c>
      <c r="X108" s="44">
        <v>20</v>
      </c>
      <c r="Y108" s="44">
        <v>20</v>
      </c>
      <c r="Z108" s="44">
        <v>20</v>
      </c>
      <c r="AA108" s="52">
        <f t="shared" si="42"/>
        <v>188</v>
      </c>
      <c r="AB108" s="41">
        <v>2024</v>
      </c>
      <c r="AC108" s="127"/>
      <c r="AD108" s="105"/>
    </row>
    <row r="109" spans="1:31" ht="31.5" x14ac:dyDescent="0.25">
      <c r="A109" s="57" t="s">
        <v>18</v>
      </c>
      <c r="B109" s="57" t="s">
        <v>18</v>
      </c>
      <c r="C109" s="57" t="s">
        <v>21</v>
      </c>
      <c r="D109" s="57" t="s">
        <v>18</v>
      </c>
      <c r="E109" s="57" t="s">
        <v>21</v>
      </c>
      <c r="F109" s="57" t="s">
        <v>18</v>
      </c>
      <c r="G109" s="57" t="s">
        <v>22</v>
      </c>
      <c r="H109" s="57" t="s">
        <v>19</v>
      </c>
      <c r="I109" s="57" t="s">
        <v>24</v>
      </c>
      <c r="J109" s="57" t="s">
        <v>18</v>
      </c>
      <c r="K109" s="57" t="s">
        <v>18</v>
      </c>
      <c r="L109" s="57" t="s">
        <v>19</v>
      </c>
      <c r="M109" s="57" t="s">
        <v>18</v>
      </c>
      <c r="N109" s="57" t="s">
        <v>18</v>
      </c>
      <c r="O109" s="57" t="s">
        <v>18</v>
      </c>
      <c r="P109" s="57" t="s">
        <v>18</v>
      </c>
      <c r="Q109" s="57" t="s">
        <v>18</v>
      </c>
      <c r="R109" s="72" t="s">
        <v>111</v>
      </c>
      <c r="S109" s="58" t="s">
        <v>0</v>
      </c>
      <c r="T109" s="1">
        <f>429.2+396.7-107.5</f>
        <v>718.4</v>
      </c>
      <c r="U109" s="1">
        <f>475.2-36.3</f>
        <v>438.9</v>
      </c>
      <c r="V109" s="1">
        <v>475.7</v>
      </c>
      <c r="W109" s="1">
        <v>475.2</v>
      </c>
      <c r="X109" s="1">
        <v>475.2</v>
      </c>
      <c r="Y109" s="1">
        <v>475.2</v>
      </c>
      <c r="Z109" s="1">
        <v>475.2</v>
      </c>
      <c r="AA109" s="62">
        <f t="shared" si="42"/>
        <v>3533.7999999999993</v>
      </c>
      <c r="AB109" s="61">
        <v>2024</v>
      </c>
      <c r="AC109" s="124"/>
    </row>
    <row r="110" spans="1:31" ht="47.25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40" t="s">
        <v>114</v>
      </c>
      <c r="S110" s="41" t="s">
        <v>38</v>
      </c>
      <c r="T110" s="44">
        <v>17</v>
      </c>
      <c r="U110" s="44">
        <v>17</v>
      </c>
      <c r="V110" s="44">
        <v>17</v>
      </c>
      <c r="W110" s="44">
        <v>17</v>
      </c>
      <c r="X110" s="44">
        <v>17</v>
      </c>
      <c r="Y110" s="44">
        <v>17</v>
      </c>
      <c r="Z110" s="44">
        <v>17</v>
      </c>
      <c r="AA110" s="52">
        <f t="shared" si="42"/>
        <v>119</v>
      </c>
      <c r="AB110" s="41">
        <v>2024</v>
      </c>
      <c r="AC110" s="127"/>
      <c r="AD110" s="105"/>
    </row>
    <row r="111" spans="1:31" ht="31.5" x14ac:dyDescent="0.25">
      <c r="A111" s="57" t="s">
        <v>18</v>
      </c>
      <c r="B111" s="57" t="s">
        <v>18</v>
      </c>
      <c r="C111" s="57" t="s">
        <v>25</v>
      </c>
      <c r="D111" s="57" t="s">
        <v>18</v>
      </c>
      <c r="E111" s="57" t="s">
        <v>21</v>
      </c>
      <c r="F111" s="57" t="s">
        <v>18</v>
      </c>
      <c r="G111" s="57" t="s">
        <v>22</v>
      </c>
      <c r="H111" s="57" t="s">
        <v>19</v>
      </c>
      <c r="I111" s="57" t="s">
        <v>24</v>
      </c>
      <c r="J111" s="57" t="s">
        <v>18</v>
      </c>
      <c r="K111" s="57" t="s">
        <v>18</v>
      </c>
      <c r="L111" s="57" t="s">
        <v>19</v>
      </c>
      <c r="M111" s="57" t="s">
        <v>18</v>
      </c>
      <c r="N111" s="57" t="s">
        <v>18</v>
      </c>
      <c r="O111" s="57" t="s">
        <v>18</v>
      </c>
      <c r="P111" s="57" t="s">
        <v>18</v>
      </c>
      <c r="Q111" s="57" t="s">
        <v>18</v>
      </c>
      <c r="R111" s="72" t="s">
        <v>115</v>
      </c>
      <c r="S111" s="58" t="s">
        <v>0</v>
      </c>
      <c r="T111" s="1">
        <f>153.3-3</f>
        <v>150.30000000000001</v>
      </c>
      <c r="U111" s="1">
        <f>200+50</f>
        <v>250</v>
      </c>
      <c r="V111" s="1">
        <v>500</v>
      </c>
      <c r="W111" s="1">
        <v>200</v>
      </c>
      <c r="X111" s="1">
        <v>200</v>
      </c>
      <c r="Y111" s="1">
        <v>200</v>
      </c>
      <c r="Z111" s="1">
        <v>200</v>
      </c>
      <c r="AA111" s="62">
        <f t="shared" si="42"/>
        <v>1700.3</v>
      </c>
      <c r="AB111" s="61">
        <v>2024</v>
      </c>
      <c r="AC111" s="33"/>
    </row>
    <row r="112" spans="1:31" ht="47.25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 t="s">
        <v>116</v>
      </c>
      <c r="S112" s="41" t="s">
        <v>38</v>
      </c>
      <c r="T112" s="44">
        <v>10</v>
      </c>
      <c r="U112" s="44">
        <v>18</v>
      </c>
      <c r="V112" s="44">
        <v>50</v>
      </c>
      <c r="W112" s="44">
        <v>18</v>
      </c>
      <c r="X112" s="44">
        <v>18</v>
      </c>
      <c r="Y112" s="44">
        <v>18</v>
      </c>
      <c r="Z112" s="44">
        <v>18</v>
      </c>
      <c r="AA112" s="52">
        <f t="shared" si="42"/>
        <v>150</v>
      </c>
      <c r="AB112" s="41">
        <v>2024</v>
      </c>
      <c r="AC112" s="33"/>
    </row>
    <row r="113" spans="1:32" ht="31.5" x14ac:dyDescent="0.25">
      <c r="A113" s="57" t="s">
        <v>18</v>
      </c>
      <c r="B113" s="57" t="s">
        <v>19</v>
      </c>
      <c r="C113" s="57" t="s">
        <v>20</v>
      </c>
      <c r="D113" s="57" t="s">
        <v>18</v>
      </c>
      <c r="E113" s="57" t="s">
        <v>21</v>
      </c>
      <c r="F113" s="57" t="s">
        <v>18</v>
      </c>
      <c r="G113" s="57" t="s">
        <v>22</v>
      </c>
      <c r="H113" s="57" t="s">
        <v>19</v>
      </c>
      <c r="I113" s="57" t="s">
        <v>24</v>
      </c>
      <c r="J113" s="57" t="s">
        <v>18</v>
      </c>
      <c r="K113" s="57" t="s">
        <v>18</v>
      </c>
      <c r="L113" s="57" t="s">
        <v>19</v>
      </c>
      <c r="M113" s="57" t="s">
        <v>18</v>
      </c>
      <c r="N113" s="57" t="s">
        <v>18</v>
      </c>
      <c r="O113" s="57" t="s">
        <v>18</v>
      </c>
      <c r="P113" s="57" t="s">
        <v>18</v>
      </c>
      <c r="Q113" s="57" t="s">
        <v>18</v>
      </c>
      <c r="R113" s="144" t="s">
        <v>117</v>
      </c>
      <c r="S113" s="97" t="s">
        <v>0</v>
      </c>
      <c r="T113" s="62">
        <f>2300+20572-19997.4-439+45+48+203.1-4</f>
        <v>2727.6999999999985</v>
      </c>
      <c r="U113" s="62">
        <f>7300+715</f>
        <v>8015</v>
      </c>
      <c r="V113" s="62">
        <v>3500</v>
      </c>
      <c r="W113" s="62">
        <v>3500</v>
      </c>
      <c r="X113" s="62">
        <v>3500</v>
      </c>
      <c r="Y113" s="62">
        <v>3500</v>
      </c>
      <c r="Z113" s="62">
        <v>3500</v>
      </c>
      <c r="AA113" s="62">
        <f>SUM(T113:Z113)</f>
        <v>28242.699999999997</v>
      </c>
      <c r="AB113" s="61">
        <v>2024</v>
      </c>
      <c r="AC113" s="127"/>
      <c r="AD113" s="112"/>
      <c r="AE113" s="112"/>
      <c r="AF113" s="112"/>
    </row>
    <row r="114" spans="1:32" s="75" customFormat="1" ht="47.4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40" t="s">
        <v>118</v>
      </c>
      <c r="S114" s="41" t="s">
        <v>50</v>
      </c>
      <c r="T114" s="2">
        <v>8</v>
      </c>
      <c r="U114" s="2">
        <v>10</v>
      </c>
      <c r="V114" s="2">
        <v>10</v>
      </c>
      <c r="W114" s="2">
        <v>10</v>
      </c>
      <c r="X114" s="2">
        <v>10</v>
      </c>
      <c r="Y114" s="2">
        <v>10</v>
      </c>
      <c r="Z114" s="2">
        <v>10</v>
      </c>
      <c r="AA114" s="45">
        <v>10</v>
      </c>
      <c r="AB114" s="41">
        <v>2024</v>
      </c>
      <c r="AC114" s="33"/>
      <c r="AD114" s="105"/>
    </row>
    <row r="115" spans="1:32" ht="31.5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64" t="s">
        <v>119</v>
      </c>
      <c r="S115" s="146" t="s">
        <v>50</v>
      </c>
      <c r="T115" s="2">
        <v>0</v>
      </c>
      <c r="U115" s="2">
        <v>649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45">
        <f>SUM(T115:Z115)</f>
        <v>649</v>
      </c>
      <c r="AB115" s="146">
        <v>2019</v>
      </c>
      <c r="AC115" s="33"/>
      <c r="AD115" s="105"/>
    </row>
    <row r="116" spans="1:32" s="75" customFormat="1" ht="31.9" customHeight="1" x14ac:dyDescent="0.25">
      <c r="A116" s="57" t="s">
        <v>18</v>
      </c>
      <c r="B116" s="57" t="s">
        <v>19</v>
      </c>
      <c r="C116" s="57" t="s">
        <v>20</v>
      </c>
      <c r="D116" s="57" t="s">
        <v>18</v>
      </c>
      <c r="E116" s="57" t="s">
        <v>21</v>
      </c>
      <c r="F116" s="57" t="s">
        <v>18</v>
      </c>
      <c r="G116" s="57" t="s">
        <v>22</v>
      </c>
      <c r="H116" s="57" t="s">
        <v>19</v>
      </c>
      <c r="I116" s="57" t="s">
        <v>24</v>
      </c>
      <c r="J116" s="57" t="s">
        <v>18</v>
      </c>
      <c r="K116" s="57" t="s">
        <v>18</v>
      </c>
      <c r="L116" s="57" t="s">
        <v>19</v>
      </c>
      <c r="M116" s="57" t="s">
        <v>18</v>
      </c>
      <c r="N116" s="57" t="s">
        <v>18</v>
      </c>
      <c r="O116" s="57" t="s">
        <v>18</v>
      </c>
      <c r="P116" s="57" t="s">
        <v>18</v>
      </c>
      <c r="Q116" s="57" t="s">
        <v>18</v>
      </c>
      <c r="R116" s="145" t="s">
        <v>120</v>
      </c>
      <c r="S116" s="61" t="s">
        <v>0</v>
      </c>
      <c r="T116" s="62">
        <f>102300-550-5000-1550.7+43.1+12-12</f>
        <v>95242.400000000009</v>
      </c>
      <c r="U116" s="62">
        <f>83000-4000+50</f>
        <v>79050</v>
      </c>
      <c r="V116" s="62">
        <v>89143.1</v>
      </c>
      <c r="W116" s="62">
        <v>83000</v>
      </c>
      <c r="X116" s="62">
        <v>83000</v>
      </c>
      <c r="Y116" s="62">
        <v>83000</v>
      </c>
      <c r="Z116" s="62">
        <v>83000</v>
      </c>
      <c r="AA116" s="62">
        <f>SUM(T116:Z116)</f>
        <v>595435.5</v>
      </c>
      <c r="AB116" s="61">
        <v>2024</v>
      </c>
      <c r="AC116" s="33"/>
    </row>
    <row r="117" spans="1:32" s="75" customFormat="1" ht="31.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51" t="s">
        <v>121</v>
      </c>
      <c r="S117" s="41" t="s">
        <v>52</v>
      </c>
      <c r="T117" s="4">
        <v>3.7</v>
      </c>
      <c r="U117" s="4">
        <v>3.8</v>
      </c>
      <c r="V117" s="4">
        <v>3.8</v>
      </c>
      <c r="W117" s="4">
        <v>3.8</v>
      </c>
      <c r="X117" s="4">
        <v>3.8</v>
      </c>
      <c r="Y117" s="4">
        <v>3.8</v>
      </c>
      <c r="Z117" s="4">
        <v>3.8</v>
      </c>
      <c r="AA117" s="6">
        <v>3.8</v>
      </c>
      <c r="AB117" s="41">
        <v>2024</v>
      </c>
      <c r="AC117" s="33"/>
    </row>
    <row r="118" spans="1:32" ht="47.25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 t="s">
        <v>122</v>
      </c>
      <c r="S118" s="41" t="s">
        <v>50</v>
      </c>
      <c r="T118" s="44">
        <v>87</v>
      </c>
      <c r="U118" s="44">
        <v>74</v>
      </c>
      <c r="V118" s="44">
        <v>74</v>
      </c>
      <c r="W118" s="44">
        <v>74</v>
      </c>
      <c r="X118" s="44">
        <v>74</v>
      </c>
      <c r="Y118" s="44">
        <v>74</v>
      </c>
      <c r="Z118" s="44">
        <v>74</v>
      </c>
      <c r="AA118" s="52">
        <v>74</v>
      </c>
      <c r="AB118" s="41">
        <v>2024</v>
      </c>
      <c r="AC118" s="127"/>
      <c r="AD118" s="105"/>
    </row>
    <row r="119" spans="1:32" ht="47.4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4" t="s">
        <v>123</v>
      </c>
      <c r="S119" s="146" t="s">
        <v>50</v>
      </c>
      <c r="T119" s="2">
        <v>2400</v>
      </c>
      <c r="U119" s="44">
        <v>2400</v>
      </c>
      <c r="V119" s="44">
        <v>2964</v>
      </c>
      <c r="W119" s="44">
        <v>2400</v>
      </c>
      <c r="X119" s="44">
        <v>2400</v>
      </c>
      <c r="Y119" s="44">
        <v>2400</v>
      </c>
      <c r="Z119" s="44">
        <v>2400</v>
      </c>
      <c r="AA119" s="52">
        <f>SUM(T119:Z119)</f>
        <v>17364</v>
      </c>
      <c r="AB119" s="41">
        <v>2024</v>
      </c>
      <c r="AC119" s="127"/>
      <c r="AD119" s="105"/>
    </row>
    <row r="120" spans="1:32" ht="47.25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4" t="s">
        <v>124</v>
      </c>
      <c r="S120" s="146" t="s">
        <v>32</v>
      </c>
      <c r="T120" s="4">
        <v>12100</v>
      </c>
      <c r="U120" s="3">
        <v>11300</v>
      </c>
      <c r="V120" s="3">
        <v>14096.1</v>
      </c>
      <c r="W120" s="3">
        <v>12800</v>
      </c>
      <c r="X120" s="3">
        <v>12800</v>
      </c>
      <c r="Y120" s="3">
        <v>12800</v>
      </c>
      <c r="Z120" s="3">
        <v>12800</v>
      </c>
      <c r="AA120" s="52">
        <f t="shared" ref="AA120:AA121" si="44">SUM(T120:Z120)</f>
        <v>88696.1</v>
      </c>
      <c r="AB120" s="41">
        <v>2024</v>
      </c>
      <c r="AC120" s="127"/>
      <c r="AD120" s="105"/>
    </row>
    <row r="121" spans="1:32" s="54" customFormat="1" ht="30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64" t="s">
        <v>125</v>
      </c>
      <c r="S121" s="146" t="s">
        <v>34</v>
      </c>
      <c r="T121" s="4">
        <v>8969</v>
      </c>
      <c r="U121" s="3">
        <v>9945</v>
      </c>
      <c r="V121" s="3">
        <v>10067.5</v>
      </c>
      <c r="W121" s="3">
        <v>12053</v>
      </c>
      <c r="X121" s="3">
        <v>12053</v>
      </c>
      <c r="Y121" s="3">
        <v>12053</v>
      </c>
      <c r="Z121" s="3">
        <v>12053</v>
      </c>
      <c r="AA121" s="52">
        <f t="shared" si="44"/>
        <v>77193.5</v>
      </c>
      <c r="AB121" s="41">
        <v>2024</v>
      </c>
      <c r="AC121" s="127"/>
      <c r="AD121" s="105"/>
    </row>
    <row r="122" spans="1:32" s="54" customFormat="1" ht="31.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126</v>
      </c>
      <c r="S122" s="41" t="s">
        <v>52</v>
      </c>
      <c r="T122" s="3">
        <v>2557</v>
      </c>
      <c r="U122" s="3">
        <v>2220.9</v>
      </c>
      <c r="V122" s="3">
        <v>2220.9</v>
      </c>
      <c r="W122" s="3">
        <v>2220.9</v>
      </c>
      <c r="X122" s="3">
        <v>2220.9</v>
      </c>
      <c r="Y122" s="3">
        <v>2220.9</v>
      </c>
      <c r="Z122" s="3">
        <v>2220.9</v>
      </c>
      <c r="AA122" s="6">
        <f>Z122</f>
        <v>2220.9</v>
      </c>
      <c r="AB122" s="41">
        <v>2024</v>
      </c>
      <c r="AC122" s="33"/>
    </row>
    <row r="123" spans="1:32" ht="63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51" t="s">
        <v>127</v>
      </c>
      <c r="S123" s="41" t="s">
        <v>36</v>
      </c>
      <c r="T123" s="44">
        <v>247</v>
      </c>
      <c r="U123" s="44">
        <v>247</v>
      </c>
      <c r="V123" s="44">
        <v>248</v>
      </c>
      <c r="W123" s="44">
        <v>247</v>
      </c>
      <c r="X123" s="44">
        <v>247</v>
      </c>
      <c r="Y123" s="44">
        <v>247</v>
      </c>
      <c r="Z123" s="44">
        <v>247</v>
      </c>
      <c r="AA123" s="52">
        <f>SUM(T123:Z123)</f>
        <v>1730</v>
      </c>
      <c r="AB123" s="41">
        <v>2024</v>
      </c>
      <c r="AC123" s="33"/>
    </row>
    <row r="124" spans="1:32" ht="31.5" x14ac:dyDescent="0.25">
      <c r="A124" s="57" t="s">
        <v>18</v>
      </c>
      <c r="B124" s="57" t="s">
        <v>19</v>
      </c>
      <c r="C124" s="57" t="s">
        <v>24</v>
      </c>
      <c r="D124" s="57" t="s">
        <v>18</v>
      </c>
      <c r="E124" s="57" t="s">
        <v>21</v>
      </c>
      <c r="F124" s="57" t="s">
        <v>18</v>
      </c>
      <c r="G124" s="57" t="s">
        <v>22</v>
      </c>
      <c r="H124" s="57" t="s">
        <v>19</v>
      </c>
      <c r="I124" s="57" t="s">
        <v>24</v>
      </c>
      <c r="J124" s="57" t="s">
        <v>18</v>
      </c>
      <c r="K124" s="57" t="s">
        <v>18</v>
      </c>
      <c r="L124" s="57" t="s">
        <v>19</v>
      </c>
      <c r="M124" s="57" t="s">
        <v>18</v>
      </c>
      <c r="N124" s="57" t="s">
        <v>18</v>
      </c>
      <c r="O124" s="57" t="s">
        <v>18</v>
      </c>
      <c r="P124" s="57" t="s">
        <v>18</v>
      </c>
      <c r="Q124" s="57" t="s">
        <v>18</v>
      </c>
      <c r="R124" s="71" t="s">
        <v>128</v>
      </c>
      <c r="S124" s="97" t="s">
        <v>0</v>
      </c>
      <c r="T124" s="62">
        <f>0+236</f>
        <v>236</v>
      </c>
      <c r="U124" s="62">
        <f>1036-229-48-141.6</f>
        <v>617.4</v>
      </c>
      <c r="V124" s="62">
        <v>1036</v>
      </c>
      <c r="W124" s="62">
        <v>1036</v>
      </c>
      <c r="X124" s="62">
        <v>1036</v>
      </c>
      <c r="Y124" s="62">
        <v>1036</v>
      </c>
      <c r="Z124" s="62">
        <v>1036</v>
      </c>
      <c r="AA124" s="62">
        <f>SUM(T124:Z124)</f>
        <v>6033.4</v>
      </c>
      <c r="AB124" s="61">
        <v>2024</v>
      </c>
      <c r="AC124" s="33"/>
    </row>
    <row r="125" spans="1:32" ht="31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4" t="s">
        <v>129</v>
      </c>
      <c r="S125" s="146" t="s">
        <v>50</v>
      </c>
      <c r="T125" s="2">
        <v>0</v>
      </c>
      <c r="U125" s="2">
        <v>1</v>
      </c>
      <c r="V125" s="2">
        <v>0</v>
      </c>
      <c r="W125" s="2">
        <v>0</v>
      </c>
      <c r="X125" s="2">
        <v>5</v>
      </c>
      <c r="Y125" s="2">
        <v>5</v>
      </c>
      <c r="Z125" s="2">
        <v>5</v>
      </c>
      <c r="AA125" s="52">
        <f>SUM(U125:Z125)</f>
        <v>16</v>
      </c>
      <c r="AB125" s="41">
        <v>2024</v>
      </c>
      <c r="AC125" s="127"/>
      <c r="AD125" s="112"/>
      <c r="AE125" s="112"/>
      <c r="AF125" s="112"/>
    </row>
    <row r="126" spans="1:32" ht="31.5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4" t="s">
        <v>186</v>
      </c>
      <c r="S126" s="146" t="s">
        <v>50</v>
      </c>
      <c r="T126" s="2">
        <v>3</v>
      </c>
      <c r="U126" s="2">
        <f>5-1</f>
        <v>4</v>
      </c>
      <c r="V126" s="2">
        <f t="shared" ref="V126:Z126" si="45">5-1</f>
        <v>4</v>
      </c>
      <c r="W126" s="2">
        <f t="shared" si="45"/>
        <v>4</v>
      </c>
      <c r="X126" s="2">
        <f t="shared" si="45"/>
        <v>4</v>
      </c>
      <c r="Y126" s="2">
        <f t="shared" si="45"/>
        <v>4</v>
      </c>
      <c r="Z126" s="2">
        <f t="shared" si="45"/>
        <v>4</v>
      </c>
      <c r="AA126" s="52">
        <v>4</v>
      </c>
      <c r="AB126" s="41">
        <v>2024</v>
      </c>
      <c r="AC126" s="33"/>
      <c r="AD126" s="112"/>
      <c r="AE126" s="112"/>
      <c r="AF126" s="112"/>
    </row>
    <row r="127" spans="1:32" ht="33" customHeight="1" x14ac:dyDescent="0.25">
      <c r="A127" s="57" t="s">
        <v>18</v>
      </c>
      <c r="B127" s="57" t="s">
        <v>19</v>
      </c>
      <c r="C127" s="57" t="s">
        <v>20</v>
      </c>
      <c r="D127" s="57" t="s">
        <v>18</v>
      </c>
      <c r="E127" s="57" t="s">
        <v>21</v>
      </c>
      <c r="F127" s="57" t="s">
        <v>18</v>
      </c>
      <c r="G127" s="57" t="s">
        <v>22</v>
      </c>
      <c r="H127" s="57" t="s">
        <v>19</v>
      </c>
      <c r="I127" s="57" t="s">
        <v>24</v>
      </c>
      <c r="J127" s="57" t="s">
        <v>18</v>
      </c>
      <c r="K127" s="57" t="s">
        <v>18</v>
      </c>
      <c r="L127" s="57" t="s">
        <v>19</v>
      </c>
      <c r="M127" s="57" t="s">
        <v>18</v>
      </c>
      <c r="N127" s="57" t="s">
        <v>18</v>
      </c>
      <c r="O127" s="57" t="s">
        <v>18</v>
      </c>
      <c r="P127" s="57" t="s">
        <v>18</v>
      </c>
      <c r="Q127" s="57" t="s">
        <v>18</v>
      </c>
      <c r="R127" s="71" t="s">
        <v>181</v>
      </c>
      <c r="S127" s="97" t="s">
        <v>0</v>
      </c>
      <c r="T127" s="62">
        <f>0+550+1550.7</f>
        <v>2100.6999999999998</v>
      </c>
      <c r="U127" s="62">
        <f>0+4000</f>
        <v>4000</v>
      </c>
      <c r="V127" s="62">
        <f>0</f>
        <v>0</v>
      </c>
      <c r="W127" s="62">
        <f>0</f>
        <v>0</v>
      </c>
      <c r="X127" s="62">
        <f>0</f>
        <v>0</v>
      </c>
      <c r="Y127" s="62">
        <f>0</f>
        <v>0</v>
      </c>
      <c r="Z127" s="62">
        <f>0</f>
        <v>0</v>
      </c>
      <c r="AA127" s="62">
        <f>SUM(T127:Z127)</f>
        <v>6100.7</v>
      </c>
      <c r="AB127" s="61">
        <v>2019</v>
      </c>
      <c r="AC127" s="33"/>
    </row>
    <row r="128" spans="1:32" ht="30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4" t="s">
        <v>180</v>
      </c>
      <c r="S128" s="146" t="s">
        <v>38</v>
      </c>
      <c r="T128" s="2">
        <v>2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52">
        <f>SUM(T128:Z128)</f>
        <v>3</v>
      </c>
      <c r="AB128" s="41">
        <v>2019</v>
      </c>
      <c r="AC128" s="127"/>
      <c r="AD128" s="112"/>
      <c r="AE128" s="112"/>
      <c r="AF128" s="112"/>
    </row>
    <row r="129" spans="1:31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149" t="s">
        <v>293</v>
      </c>
      <c r="S129" s="58" t="s">
        <v>0</v>
      </c>
      <c r="T129" s="62">
        <v>0</v>
      </c>
      <c r="U129" s="62">
        <f>SUM(U130:U133)</f>
        <v>117553.9</v>
      </c>
      <c r="V129" s="62">
        <f>V131</f>
        <v>5649.7</v>
      </c>
      <c r="W129" s="62">
        <f t="shared" ref="W129:Z129" si="46">W131</f>
        <v>5649.7</v>
      </c>
      <c r="X129" s="62">
        <f t="shared" si="46"/>
        <v>5649.7</v>
      </c>
      <c r="Y129" s="62">
        <f t="shared" si="46"/>
        <v>5649.7</v>
      </c>
      <c r="Z129" s="62">
        <f t="shared" si="46"/>
        <v>5649.7</v>
      </c>
      <c r="AA129" s="62">
        <f>SUM(T129:Z129)</f>
        <v>145802.40000000002</v>
      </c>
      <c r="AB129" s="61">
        <v>2024</v>
      </c>
      <c r="AD129" s="107"/>
      <c r="AE129" s="107"/>
    </row>
    <row r="130" spans="1:31" x14ac:dyDescent="0.25">
      <c r="A130" s="57" t="s">
        <v>18</v>
      </c>
      <c r="B130" s="57" t="s">
        <v>19</v>
      </c>
      <c r="C130" s="57" t="s">
        <v>20</v>
      </c>
      <c r="D130" s="57" t="s">
        <v>18</v>
      </c>
      <c r="E130" s="57" t="s">
        <v>21</v>
      </c>
      <c r="F130" s="57" t="s">
        <v>18</v>
      </c>
      <c r="G130" s="57" t="s">
        <v>22</v>
      </c>
      <c r="H130" s="57" t="s">
        <v>19</v>
      </c>
      <c r="I130" s="57" t="s">
        <v>24</v>
      </c>
      <c r="J130" s="57" t="s">
        <v>18</v>
      </c>
      <c r="K130" s="57" t="s">
        <v>272</v>
      </c>
      <c r="L130" s="57" t="s">
        <v>20</v>
      </c>
      <c r="M130" s="57" t="s">
        <v>21</v>
      </c>
      <c r="N130" s="57" t="s">
        <v>21</v>
      </c>
      <c r="O130" s="57" t="s">
        <v>21</v>
      </c>
      <c r="P130" s="57" t="s">
        <v>21</v>
      </c>
      <c r="Q130" s="57" t="s">
        <v>19</v>
      </c>
      <c r="R130" s="149"/>
      <c r="S130" s="58" t="s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62">
        <f>SUM(T130:Z130)</f>
        <v>0</v>
      </c>
      <c r="AB130" s="61">
        <v>2024</v>
      </c>
      <c r="AD130" s="107"/>
      <c r="AE130" s="107"/>
    </row>
    <row r="131" spans="1:31" x14ac:dyDescent="0.25">
      <c r="A131" s="57" t="s">
        <v>18</v>
      </c>
      <c r="B131" s="57" t="s">
        <v>24</v>
      </c>
      <c r="C131" s="57" t="s">
        <v>22</v>
      </c>
      <c r="D131" s="57" t="s">
        <v>18</v>
      </c>
      <c r="E131" s="57" t="s">
        <v>21</v>
      </c>
      <c r="F131" s="57" t="s">
        <v>18</v>
      </c>
      <c r="G131" s="57" t="s">
        <v>22</v>
      </c>
      <c r="H131" s="57" t="s">
        <v>19</v>
      </c>
      <c r="I131" s="57" t="s">
        <v>24</v>
      </c>
      <c r="J131" s="57" t="s">
        <v>18</v>
      </c>
      <c r="K131" s="57" t="s">
        <v>272</v>
      </c>
      <c r="L131" s="57" t="s">
        <v>20</v>
      </c>
      <c r="M131" s="57" t="s">
        <v>21</v>
      </c>
      <c r="N131" s="57" t="s">
        <v>21</v>
      </c>
      <c r="O131" s="57" t="s">
        <v>21</v>
      </c>
      <c r="P131" s="57" t="s">
        <v>21</v>
      </c>
      <c r="Q131" s="57" t="s">
        <v>19</v>
      </c>
      <c r="R131" s="149"/>
      <c r="S131" s="58" t="s">
        <v>0</v>
      </c>
      <c r="T131" s="1">
        <v>0</v>
      </c>
      <c r="U131" s="1">
        <f>115690</f>
        <v>115690</v>
      </c>
      <c r="V131" s="1">
        <v>5649.7</v>
      </c>
      <c r="W131" s="1">
        <v>5649.7</v>
      </c>
      <c r="X131" s="1">
        <v>5649.7</v>
      </c>
      <c r="Y131" s="1">
        <v>5649.7</v>
      </c>
      <c r="Z131" s="1">
        <v>5649.7</v>
      </c>
      <c r="AA131" s="62">
        <f t="shared" ref="AA131:AA133" si="47">SUM(T131:Z131)</f>
        <v>143938.50000000003</v>
      </c>
      <c r="AB131" s="61">
        <v>2019</v>
      </c>
      <c r="AD131" s="107"/>
      <c r="AE131" s="107"/>
    </row>
    <row r="132" spans="1:31" x14ac:dyDescent="0.25">
      <c r="A132" s="57" t="s">
        <v>18</v>
      </c>
      <c r="B132" s="57" t="s">
        <v>19</v>
      </c>
      <c r="C132" s="57" t="s">
        <v>20</v>
      </c>
      <c r="D132" s="57" t="s">
        <v>18</v>
      </c>
      <c r="E132" s="57" t="s">
        <v>21</v>
      </c>
      <c r="F132" s="57" t="s">
        <v>18</v>
      </c>
      <c r="G132" s="57" t="s">
        <v>22</v>
      </c>
      <c r="H132" s="57" t="s">
        <v>19</v>
      </c>
      <c r="I132" s="57" t="s">
        <v>24</v>
      </c>
      <c r="J132" s="57" t="s">
        <v>18</v>
      </c>
      <c r="K132" s="57" t="s">
        <v>18</v>
      </c>
      <c r="L132" s="57" t="s">
        <v>19</v>
      </c>
      <c r="M132" s="57" t="s">
        <v>18</v>
      </c>
      <c r="N132" s="57" t="s">
        <v>18</v>
      </c>
      <c r="O132" s="57" t="s">
        <v>18</v>
      </c>
      <c r="P132" s="57" t="s">
        <v>18</v>
      </c>
      <c r="Q132" s="57" t="s">
        <v>18</v>
      </c>
      <c r="R132" s="149"/>
      <c r="S132" s="58" t="s">
        <v>0</v>
      </c>
      <c r="T132" s="1">
        <v>0</v>
      </c>
      <c r="U132" s="1">
        <f>840+131.2-50</f>
        <v>921.2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62">
        <f t="shared" ref="AA132" si="48">SUM(T132:Z132)</f>
        <v>921.2</v>
      </c>
      <c r="AB132" s="61">
        <v>2019</v>
      </c>
      <c r="AD132" s="107"/>
      <c r="AE132" s="107"/>
    </row>
    <row r="133" spans="1:31" x14ac:dyDescent="0.25">
      <c r="A133" s="57" t="s">
        <v>18</v>
      </c>
      <c r="B133" s="57" t="s">
        <v>24</v>
      </c>
      <c r="C133" s="57" t="s">
        <v>22</v>
      </c>
      <c r="D133" s="57" t="s">
        <v>18</v>
      </c>
      <c r="E133" s="57" t="s">
        <v>21</v>
      </c>
      <c r="F133" s="57" t="s">
        <v>18</v>
      </c>
      <c r="G133" s="57" t="s">
        <v>22</v>
      </c>
      <c r="H133" s="57" t="s">
        <v>19</v>
      </c>
      <c r="I133" s="57" t="s">
        <v>24</v>
      </c>
      <c r="J133" s="57" t="s">
        <v>18</v>
      </c>
      <c r="K133" s="57" t="s">
        <v>18</v>
      </c>
      <c r="L133" s="57" t="s">
        <v>19</v>
      </c>
      <c r="M133" s="57" t="s">
        <v>18</v>
      </c>
      <c r="N133" s="57" t="s">
        <v>18</v>
      </c>
      <c r="O133" s="57" t="s">
        <v>18</v>
      </c>
      <c r="P133" s="57" t="s">
        <v>18</v>
      </c>
      <c r="Q133" s="57" t="s">
        <v>18</v>
      </c>
      <c r="R133" s="149"/>
      <c r="S133" s="58" t="s">
        <v>0</v>
      </c>
      <c r="T133" s="1">
        <v>0</v>
      </c>
      <c r="U133" s="1">
        <f>2865.5-1232.8-690</f>
        <v>942.7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62">
        <f t="shared" si="47"/>
        <v>942.7</v>
      </c>
      <c r="AB133" s="61">
        <v>2019</v>
      </c>
      <c r="AD133" s="107"/>
      <c r="AE133" s="107"/>
    </row>
    <row r="134" spans="1:31" ht="33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64" t="s">
        <v>75</v>
      </c>
      <c r="S134" s="65" t="s">
        <v>38</v>
      </c>
      <c r="T134" s="2">
        <v>0</v>
      </c>
      <c r="U134" s="2">
        <v>6</v>
      </c>
      <c r="V134" s="2">
        <v>5</v>
      </c>
      <c r="W134" s="2">
        <v>3</v>
      </c>
      <c r="X134" s="2">
        <v>3</v>
      </c>
      <c r="Y134" s="2">
        <v>3</v>
      </c>
      <c r="Z134" s="2">
        <v>3</v>
      </c>
      <c r="AA134" s="52">
        <f>SUM(T134:Z134)</f>
        <v>23</v>
      </c>
      <c r="AB134" s="146">
        <v>2024</v>
      </c>
      <c r="AD134" s="107"/>
      <c r="AE134" s="107"/>
    </row>
    <row r="135" spans="1:31" ht="31.1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64" t="s">
        <v>76</v>
      </c>
      <c r="S135" s="65" t="s">
        <v>52</v>
      </c>
      <c r="T135" s="4">
        <v>0</v>
      </c>
      <c r="U135" s="4">
        <v>58.4</v>
      </c>
      <c r="V135" s="4">
        <v>64.3</v>
      </c>
      <c r="W135" s="4">
        <v>64.3</v>
      </c>
      <c r="X135" s="4">
        <v>64.3</v>
      </c>
      <c r="Y135" s="4">
        <v>64.3</v>
      </c>
      <c r="Z135" s="4">
        <v>64.3</v>
      </c>
      <c r="AA135" s="6">
        <f>SUM(T135:Z135)</f>
        <v>379.90000000000003</v>
      </c>
      <c r="AB135" s="41">
        <v>2024</v>
      </c>
      <c r="AD135" s="107"/>
      <c r="AE135" s="107"/>
    </row>
    <row r="136" spans="1:31" ht="46.9" hidden="1" customHeight="1" x14ac:dyDescent="0.25">
      <c r="A136" s="57" t="s">
        <v>18</v>
      </c>
      <c r="B136" s="57" t="s">
        <v>19</v>
      </c>
      <c r="C136" s="57" t="s">
        <v>20</v>
      </c>
      <c r="D136" s="57" t="s">
        <v>18</v>
      </c>
      <c r="E136" s="57" t="s">
        <v>21</v>
      </c>
      <c r="F136" s="57" t="s">
        <v>18</v>
      </c>
      <c r="G136" s="57" t="s">
        <v>22</v>
      </c>
      <c r="H136" s="57" t="s">
        <v>19</v>
      </c>
      <c r="I136" s="57" t="s">
        <v>24</v>
      </c>
      <c r="J136" s="57" t="s">
        <v>18</v>
      </c>
      <c r="K136" s="57" t="s">
        <v>18</v>
      </c>
      <c r="L136" s="57" t="s">
        <v>19</v>
      </c>
      <c r="M136" s="57" t="s">
        <v>40</v>
      </c>
      <c r="N136" s="57" t="s">
        <v>22</v>
      </c>
      <c r="O136" s="57" t="s">
        <v>184</v>
      </c>
      <c r="P136" s="57" t="s">
        <v>24</v>
      </c>
      <c r="Q136" s="57" t="s">
        <v>18</v>
      </c>
      <c r="R136" s="71" t="s">
        <v>297</v>
      </c>
      <c r="S136" s="58" t="s">
        <v>0</v>
      </c>
      <c r="T136" s="62">
        <v>0</v>
      </c>
      <c r="U136" s="62">
        <f>103354.8-103354.8</f>
        <v>0</v>
      </c>
      <c r="V136" s="62">
        <v>0</v>
      </c>
      <c r="W136" s="62">
        <v>0</v>
      </c>
      <c r="X136" s="62">
        <v>0</v>
      </c>
      <c r="Y136" s="62">
        <v>0</v>
      </c>
      <c r="Z136" s="62">
        <v>0</v>
      </c>
      <c r="AA136" s="62">
        <f>SUM(T136:Y136)</f>
        <v>0</v>
      </c>
      <c r="AB136" s="61">
        <v>0</v>
      </c>
      <c r="AD136" s="107"/>
      <c r="AE136" s="107"/>
    </row>
    <row r="137" spans="1:31" ht="31.5" hidden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 t="s">
        <v>294</v>
      </c>
      <c r="S137" s="41" t="s">
        <v>9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6">
        <f t="shared" ref="AA137:AA138" si="49">SUM(T137:Y137)</f>
        <v>0</v>
      </c>
      <c r="AB137" s="76">
        <v>0</v>
      </c>
      <c r="AD137" s="107"/>
      <c r="AE137" s="107"/>
    </row>
    <row r="138" spans="1:31" ht="33" hidden="1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4" t="s">
        <v>296</v>
      </c>
      <c r="S138" s="65" t="s">
        <v>295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6">
        <f t="shared" si="49"/>
        <v>0</v>
      </c>
      <c r="AB138" s="76">
        <v>0</v>
      </c>
      <c r="AD138" s="107"/>
      <c r="AE138" s="107"/>
    </row>
    <row r="139" spans="1:31" s="54" customFormat="1" ht="31.5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78" t="s">
        <v>56</v>
      </c>
      <c r="S139" s="50" t="s">
        <v>0</v>
      </c>
      <c r="T139" s="49">
        <f t="shared" ref="T139:Z139" si="50">T162+T205+T148+T460</f>
        <v>147061.215</v>
      </c>
      <c r="U139" s="49">
        <f t="shared" si="50"/>
        <v>108807.59999999998</v>
      </c>
      <c r="V139" s="49">
        <f t="shared" si="50"/>
        <v>25190.36</v>
      </c>
      <c r="W139" s="49">
        <f t="shared" si="50"/>
        <v>25190.3</v>
      </c>
      <c r="X139" s="49">
        <f t="shared" si="50"/>
        <v>25190.3</v>
      </c>
      <c r="Y139" s="49">
        <f t="shared" si="50"/>
        <v>25190.3</v>
      </c>
      <c r="Z139" s="49">
        <f t="shared" si="50"/>
        <v>25190.3</v>
      </c>
      <c r="AA139" s="49">
        <f>SUM(T139:Z139)</f>
        <v>381820.37499999994</v>
      </c>
      <c r="AB139" s="50">
        <v>2024</v>
      </c>
      <c r="AC139" s="114"/>
      <c r="AD139" s="53"/>
    </row>
    <row r="140" spans="1:31" s="54" customFormat="1" ht="31.5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40" t="s">
        <v>244</v>
      </c>
      <c r="S140" s="41" t="s">
        <v>38</v>
      </c>
      <c r="T140" s="2">
        <f t="shared" ref="T140:Z140" si="51">T461+T167+T207</f>
        <v>58</v>
      </c>
      <c r="U140" s="44">
        <f>U461+U167+U207</f>
        <v>42</v>
      </c>
      <c r="V140" s="2">
        <f t="shared" si="51"/>
        <v>49</v>
      </c>
      <c r="W140" s="2">
        <f t="shared" si="51"/>
        <v>48</v>
      </c>
      <c r="X140" s="2">
        <f t="shared" si="51"/>
        <v>48</v>
      </c>
      <c r="Y140" s="2">
        <f t="shared" si="51"/>
        <v>48</v>
      </c>
      <c r="Z140" s="2">
        <f t="shared" si="51"/>
        <v>48</v>
      </c>
      <c r="AA140" s="45">
        <f>SUM(T140:Z140)</f>
        <v>341</v>
      </c>
      <c r="AB140" s="41">
        <v>2024</v>
      </c>
      <c r="AC140" s="94"/>
      <c r="AD140" s="53"/>
    </row>
    <row r="141" spans="1:31" s="54" customFormat="1" ht="31.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245</v>
      </c>
      <c r="S141" s="41" t="s">
        <v>52</v>
      </c>
      <c r="T141" s="4">
        <f>T461+T165+T206</f>
        <v>63</v>
      </c>
      <c r="U141" s="4">
        <f t="shared" ref="U141:Z141" si="52">U462+U165+U206</f>
        <v>42.2</v>
      </c>
      <c r="V141" s="4">
        <f t="shared" si="52"/>
        <v>72.599999999999994</v>
      </c>
      <c r="W141" s="4">
        <f t="shared" si="52"/>
        <v>80.300000000000011</v>
      </c>
      <c r="X141" s="4">
        <f t="shared" si="52"/>
        <v>80.300000000000011</v>
      </c>
      <c r="Y141" s="4">
        <f t="shared" si="52"/>
        <v>80.300000000000011</v>
      </c>
      <c r="Z141" s="4">
        <f t="shared" si="52"/>
        <v>80.300000000000011</v>
      </c>
      <c r="AA141" s="5">
        <f>SUM(T141:Z141)</f>
        <v>499.00000000000006</v>
      </c>
      <c r="AB141" s="41">
        <v>2024</v>
      </c>
      <c r="AC141" s="114"/>
      <c r="AD141" s="53"/>
    </row>
    <row r="142" spans="1:31" s="8" customFormat="1" ht="47.25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64" t="s">
        <v>130</v>
      </c>
      <c r="S142" s="146" t="s">
        <v>9</v>
      </c>
      <c r="T142" s="3">
        <f>((4338+39.6)+63)/13987*100</f>
        <v>31.748051762350755</v>
      </c>
      <c r="U142" s="3">
        <f>((4338+39.6)+T141+U141)/13987*100</f>
        <v>32.049760491885323</v>
      </c>
      <c r="V142" s="3">
        <f>((4338+39.6)+U141+V141+T141)/13987*100</f>
        <v>32.568813898620149</v>
      </c>
      <c r="W142" s="3">
        <f>((4338+39.6)+T141+V141+W141+U141)/13987*100</f>
        <v>33.142918424251093</v>
      </c>
      <c r="X142" s="3">
        <f>((4338+39.6)+T141+U141+W141+X141+V141)/13987*100</f>
        <v>33.717022949882043</v>
      </c>
      <c r="Y142" s="3">
        <f>((4338+39.6)+T141+U141+V141+X141+Y141+W141)/13987*100</f>
        <v>34.291127475512987</v>
      </c>
      <c r="Z142" s="3">
        <f>((4338+39.6)+T141+U141+V141+W141+Y141+Z141+X141)/13987*100</f>
        <v>34.86523200114393</v>
      </c>
      <c r="AA142" s="5">
        <f>Z142</f>
        <v>34.86523200114393</v>
      </c>
      <c r="AB142" s="41">
        <v>2024</v>
      </c>
      <c r="AC142" s="106"/>
      <c r="AD142" s="63"/>
    </row>
    <row r="143" spans="1:31" ht="47.25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5" t="s">
        <v>131</v>
      </c>
      <c r="S143" s="146" t="s">
        <v>9</v>
      </c>
      <c r="T143" s="3">
        <f>30/58*100</f>
        <v>51.724137931034484</v>
      </c>
      <c r="U143" s="3">
        <f>22/42*100</f>
        <v>52.380952380952387</v>
      </c>
      <c r="V143" s="4">
        <v>91</v>
      </c>
      <c r="W143" s="4">
        <v>91</v>
      </c>
      <c r="X143" s="4">
        <v>91</v>
      </c>
      <c r="Y143" s="4">
        <v>91</v>
      </c>
      <c r="Z143" s="4">
        <v>91</v>
      </c>
      <c r="AA143" s="5">
        <v>91</v>
      </c>
      <c r="AB143" s="41">
        <v>2024</v>
      </c>
      <c r="AC143" s="114"/>
    </row>
    <row r="144" spans="1:31" ht="46.9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5" t="s">
        <v>269</v>
      </c>
      <c r="S144" s="146" t="s">
        <v>270</v>
      </c>
      <c r="T144" s="4">
        <v>0</v>
      </c>
      <c r="U144" s="4">
        <v>0</v>
      </c>
      <c r="V144" s="4">
        <v>23.7</v>
      </c>
      <c r="W144" s="4">
        <v>23.7</v>
      </c>
      <c r="X144" s="4">
        <v>23.7</v>
      </c>
      <c r="Y144" s="4">
        <v>23.7</v>
      </c>
      <c r="Z144" s="4">
        <v>23.7</v>
      </c>
      <c r="AA144" s="5">
        <v>23.7</v>
      </c>
      <c r="AB144" s="41">
        <v>2024</v>
      </c>
      <c r="AC144" s="114"/>
    </row>
    <row r="145" spans="1:31" s="54" customFormat="1" ht="47.25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40" t="s">
        <v>132</v>
      </c>
      <c r="S145" s="41" t="s">
        <v>9</v>
      </c>
      <c r="T145" s="3">
        <f>27.6/336.9*100</f>
        <v>8.1923419412288521</v>
      </c>
      <c r="U145" s="3">
        <f>11.3/336.9*100</f>
        <v>3.3541110121697839</v>
      </c>
      <c r="V145" s="3">
        <v>43.1</v>
      </c>
      <c r="W145" s="3">
        <v>43.1</v>
      </c>
      <c r="X145" s="3">
        <v>43.1</v>
      </c>
      <c r="Y145" s="3">
        <v>43.1</v>
      </c>
      <c r="Z145" s="3">
        <v>43.1</v>
      </c>
      <c r="AA145" s="6">
        <v>43.1</v>
      </c>
      <c r="AB145" s="41">
        <v>2024</v>
      </c>
      <c r="AC145" s="114"/>
      <c r="AD145" s="53"/>
    </row>
    <row r="146" spans="1:31" s="54" customFormat="1" ht="63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145" t="s">
        <v>133</v>
      </c>
      <c r="S146" s="58" t="s">
        <v>41</v>
      </c>
      <c r="T146" s="59">
        <v>0</v>
      </c>
      <c r="U146" s="59">
        <v>0</v>
      </c>
      <c r="V146" s="59">
        <v>1</v>
      </c>
      <c r="W146" s="59">
        <v>1</v>
      </c>
      <c r="X146" s="59">
        <v>1</v>
      </c>
      <c r="Y146" s="59">
        <v>1</v>
      </c>
      <c r="Z146" s="59">
        <v>1</v>
      </c>
      <c r="AA146" s="60">
        <v>1</v>
      </c>
      <c r="AB146" s="61">
        <v>2024</v>
      </c>
      <c r="AC146" s="114"/>
      <c r="AD146" s="53"/>
    </row>
    <row r="147" spans="1:31" s="54" customFormat="1" ht="31.5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40" t="s">
        <v>73</v>
      </c>
      <c r="S147" s="41" t="s">
        <v>38</v>
      </c>
      <c r="T147" s="44">
        <v>0</v>
      </c>
      <c r="U147" s="44">
        <v>0</v>
      </c>
      <c r="V147" s="44">
        <f t="shared" ref="V147:Z147" si="53">V461</f>
        <v>33</v>
      </c>
      <c r="W147" s="44">
        <f t="shared" si="53"/>
        <v>30</v>
      </c>
      <c r="X147" s="44">
        <f t="shared" si="53"/>
        <v>30</v>
      </c>
      <c r="Y147" s="44">
        <f t="shared" si="53"/>
        <v>30</v>
      </c>
      <c r="Z147" s="44">
        <f t="shared" si="53"/>
        <v>30</v>
      </c>
      <c r="AA147" s="52">
        <f>SUM(T147:Z147)</f>
        <v>153</v>
      </c>
      <c r="AB147" s="41">
        <v>2024</v>
      </c>
      <c r="AC147" s="121"/>
      <c r="AD147" s="116"/>
      <c r="AE147" s="116"/>
    </row>
    <row r="148" spans="1:31" s="54" customFormat="1" ht="31.5" x14ac:dyDescent="0.25">
      <c r="A148" s="57"/>
      <c r="B148" s="57"/>
      <c r="C148" s="57"/>
      <c r="D148" s="57" t="s">
        <v>18</v>
      </c>
      <c r="E148" s="57" t="s">
        <v>21</v>
      </c>
      <c r="F148" s="57" t="s">
        <v>18</v>
      </c>
      <c r="G148" s="57" t="s">
        <v>22</v>
      </c>
      <c r="H148" s="57" t="s">
        <v>19</v>
      </c>
      <c r="I148" s="57" t="s">
        <v>24</v>
      </c>
      <c r="J148" s="57" t="s">
        <v>18</v>
      </c>
      <c r="K148" s="57" t="s">
        <v>18</v>
      </c>
      <c r="L148" s="57" t="s">
        <v>20</v>
      </c>
      <c r="M148" s="57" t="s">
        <v>18</v>
      </c>
      <c r="N148" s="57" t="s">
        <v>18</v>
      </c>
      <c r="O148" s="57" t="s">
        <v>18</v>
      </c>
      <c r="P148" s="57" t="s">
        <v>18</v>
      </c>
      <c r="Q148" s="57" t="s">
        <v>18</v>
      </c>
      <c r="R148" s="145" t="s">
        <v>273</v>
      </c>
      <c r="S148" s="61" t="s">
        <v>0</v>
      </c>
      <c r="T148" s="62">
        <f t="shared" ref="T148:Y148" si="54">T150+T152+T154+T156</f>
        <v>1307</v>
      </c>
      <c r="U148" s="62">
        <f t="shared" si="54"/>
        <v>0</v>
      </c>
      <c r="V148" s="62">
        <f t="shared" si="54"/>
        <v>0</v>
      </c>
      <c r="W148" s="62">
        <f t="shared" si="54"/>
        <v>0</v>
      </c>
      <c r="X148" s="62">
        <f t="shared" si="54"/>
        <v>0</v>
      </c>
      <c r="Y148" s="62">
        <f t="shared" si="54"/>
        <v>0</v>
      </c>
      <c r="Z148" s="62">
        <f t="shared" ref="Z148" si="55">Z150+Z152+Z154+Z156</f>
        <v>0</v>
      </c>
      <c r="AA148" s="62">
        <f>SUM(T148:Y148)</f>
        <v>1307</v>
      </c>
      <c r="AB148" s="61">
        <v>2018</v>
      </c>
      <c r="AC148" s="114"/>
      <c r="AD148" s="116"/>
      <c r="AE148" s="116"/>
    </row>
    <row r="149" spans="1:31" s="54" customFormat="1" ht="47.25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81" t="s">
        <v>286</v>
      </c>
      <c r="S149" s="55" t="s">
        <v>38</v>
      </c>
      <c r="T149" s="44">
        <f>T151+T153+T155+T157</f>
        <v>39</v>
      </c>
      <c r="U149" s="44">
        <f t="shared" ref="U149:Y149" si="56">U151+U153+U155+U157</f>
        <v>0</v>
      </c>
      <c r="V149" s="44">
        <f t="shared" si="56"/>
        <v>0</v>
      </c>
      <c r="W149" s="44">
        <f t="shared" si="56"/>
        <v>0</v>
      </c>
      <c r="X149" s="44">
        <f t="shared" si="56"/>
        <v>0</v>
      </c>
      <c r="Y149" s="44">
        <f t="shared" si="56"/>
        <v>0</v>
      </c>
      <c r="Z149" s="44">
        <f t="shared" ref="Z149" si="57">Z151+Z153+Z155+Z157</f>
        <v>0</v>
      </c>
      <c r="AA149" s="52">
        <f>T149</f>
        <v>39</v>
      </c>
      <c r="AB149" s="41">
        <v>2018</v>
      </c>
      <c r="AC149" s="114"/>
      <c r="AD149" s="116"/>
      <c r="AE149" s="116"/>
    </row>
    <row r="150" spans="1:31" s="54" customFormat="1" ht="30" customHeight="1" x14ac:dyDescent="0.25">
      <c r="A150" s="57" t="s">
        <v>18</v>
      </c>
      <c r="B150" s="57" t="s">
        <v>18</v>
      </c>
      <c r="C150" s="57" t="s">
        <v>22</v>
      </c>
      <c r="D150" s="57" t="s">
        <v>18</v>
      </c>
      <c r="E150" s="57" t="s">
        <v>21</v>
      </c>
      <c r="F150" s="57" t="s">
        <v>18</v>
      </c>
      <c r="G150" s="57" t="s">
        <v>22</v>
      </c>
      <c r="H150" s="57" t="s">
        <v>19</v>
      </c>
      <c r="I150" s="57" t="s">
        <v>24</v>
      </c>
      <c r="J150" s="57" t="s">
        <v>18</v>
      </c>
      <c r="K150" s="57" t="s">
        <v>18</v>
      </c>
      <c r="L150" s="57" t="s">
        <v>20</v>
      </c>
      <c r="M150" s="57" t="s">
        <v>18</v>
      </c>
      <c r="N150" s="57" t="s">
        <v>18</v>
      </c>
      <c r="O150" s="57" t="s">
        <v>18</v>
      </c>
      <c r="P150" s="57" t="s">
        <v>18</v>
      </c>
      <c r="Q150" s="57" t="s">
        <v>18</v>
      </c>
      <c r="R150" s="145" t="s">
        <v>273</v>
      </c>
      <c r="S150" s="58" t="s">
        <v>0</v>
      </c>
      <c r="T150" s="1">
        <v>474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62">
        <f>SUM(T150:Y150)</f>
        <v>474</v>
      </c>
      <c r="AB150" s="61">
        <v>2018</v>
      </c>
      <c r="AC150" s="125"/>
      <c r="AD150" s="117"/>
      <c r="AE150" s="117"/>
    </row>
    <row r="151" spans="1:31" s="54" customFormat="1" ht="63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287</v>
      </c>
      <c r="S151" s="55" t="s">
        <v>38</v>
      </c>
      <c r="T151" s="44">
        <v>15</v>
      </c>
      <c r="U151" s="44">
        <v>0</v>
      </c>
      <c r="V151" s="44">
        <v>0</v>
      </c>
      <c r="W151" s="44">
        <v>0</v>
      </c>
      <c r="X151" s="44">
        <v>0</v>
      </c>
      <c r="Y151" s="44">
        <v>0</v>
      </c>
      <c r="Z151" s="44">
        <v>0</v>
      </c>
      <c r="AA151" s="52">
        <f>T151+U151+V151+W151+X151</f>
        <v>15</v>
      </c>
      <c r="AB151" s="41">
        <v>2018</v>
      </c>
      <c r="AC151" s="114"/>
      <c r="AD151" s="53"/>
    </row>
    <row r="152" spans="1:31" s="140" customFormat="1" ht="31.5" x14ac:dyDescent="0.25">
      <c r="A152" s="57" t="s">
        <v>18</v>
      </c>
      <c r="B152" s="57" t="s">
        <v>18</v>
      </c>
      <c r="C152" s="57" t="s">
        <v>24</v>
      </c>
      <c r="D152" s="57" t="s">
        <v>18</v>
      </c>
      <c r="E152" s="57" t="s">
        <v>21</v>
      </c>
      <c r="F152" s="57" t="s">
        <v>18</v>
      </c>
      <c r="G152" s="57" t="s">
        <v>22</v>
      </c>
      <c r="H152" s="57" t="s">
        <v>19</v>
      </c>
      <c r="I152" s="57" t="s">
        <v>24</v>
      </c>
      <c r="J152" s="57" t="s">
        <v>18</v>
      </c>
      <c r="K152" s="57" t="s">
        <v>18</v>
      </c>
      <c r="L152" s="57" t="s">
        <v>20</v>
      </c>
      <c r="M152" s="57" t="s">
        <v>18</v>
      </c>
      <c r="N152" s="57" t="s">
        <v>18</v>
      </c>
      <c r="O152" s="57" t="s">
        <v>18</v>
      </c>
      <c r="P152" s="57" t="s">
        <v>18</v>
      </c>
      <c r="Q152" s="57" t="s">
        <v>18</v>
      </c>
      <c r="R152" s="145" t="s">
        <v>273</v>
      </c>
      <c r="S152" s="58" t="s">
        <v>0</v>
      </c>
      <c r="T152" s="1">
        <f>0+126+400-100</f>
        <v>426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62">
        <f t="shared" ref="AA152:AA157" si="58">SUM(T152:Y152)</f>
        <v>426</v>
      </c>
      <c r="AB152" s="61">
        <v>2018</v>
      </c>
      <c r="AC152" s="138"/>
      <c r="AD152" s="139"/>
      <c r="AE152" s="139"/>
    </row>
    <row r="153" spans="1:31" s="54" customFormat="1" ht="63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288</v>
      </c>
      <c r="S153" s="55" t="s">
        <v>38</v>
      </c>
      <c r="T153" s="44">
        <v>4</v>
      </c>
      <c r="U153" s="44">
        <v>0</v>
      </c>
      <c r="V153" s="44">
        <v>0</v>
      </c>
      <c r="W153" s="44">
        <v>0</v>
      </c>
      <c r="X153" s="44">
        <v>0</v>
      </c>
      <c r="Y153" s="44">
        <v>0</v>
      </c>
      <c r="Z153" s="44">
        <v>0</v>
      </c>
      <c r="AA153" s="52">
        <f t="shared" si="58"/>
        <v>4</v>
      </c>
      <c r="AB153" s="41">
        <v>2018</v>
      </c>
      <c r="AC153" s="115"/>
      <c r="AD153" s="116"/>
    </row>
    <row r="154" spans="1:31" s="54" customFormat="1" ht="31.5" x14ac:dyDescent="0.25">
      <c r="A154" s="57" t="s">
        <v>18</v>
      </c>
      <c r="B154" s="57" t="s">
        <v>18</v>
      </c>
      <c r="C154" s="57" t="s">
        <v>21</v>
      </c>
      <c r="D154" s="57" t="s">
        <v>18</v>
      </c>
      <c r="E154" s="57" t="s">
        <v>21</v>
      </c>
      <c r="F154" s="57" t="s">
        <v>18</v>
      </c>
      <c r="G154" s="57" t="s">
        <v>22</v>
      </c>
      <c r="H154" s="57" t="s">
        <v>19</v>
      </c>
      <c r="I154" s="57" t="s">
        <v>24</v>
      </c>
      <c r="J154" s="57" t="s">
        <v>18</v>
      </c>
      <c r="K154" s="57" t="s">
        <v>18</v>
      </c>
      <c r="L154" s="57" t="s">
        <v>20</v>
      </c>
      <c r="M154" s="57" t="s">
        <v>18</v>
      </c>
      <c r="N154" s="57" t="s">
        <v>18</v>
      </c>
      <c r="O154" s="57" t="s">
        <v>18</v>
      </c>
      <c r="P154" s="57" t="s">
        <v>18</v>
      </c>
      <c r="Q154" s="57" t="s">
        <v>18</v>
      </c>
      <c r="R154" s="145" t="s">
        <v>273</v>
      </c>
      <c r="S154" s="58" t="s">
        <v>0</v>
      </c>
      <c r="T154" s="1">
        <v>250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62">
        <f t="shared" si="58"/>
        <v>250</v>
      </c>
      <c r="AB154" s="61">
        <v>2018</v>
      </c>
      <c r="AC154" s="33"/>
      <c r="AD154" s="116"/>
      <c r="AE154" s="116"/>
    </row>
    <row r="155" spans="1:31" s="54" customFormat="1" ht="63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289</v>
      </c>
      <c r="S155" s="55" t="s">
        <v>38</v>
      </c>
      <c r="T155" s="44">
        <v>16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52">
        <f t="shared" si="58"/>
        <v>16</v>
      </c>
      <c r="AB155" s="41">
        <v>2018</v>
      </c>
      <c r="AC155" s="114"/>
      <c r="AD155" s="53"/>
    </row>
    <row r="156" spans="1:31" s="54" customFormat="1" ht="34.9" customHeight="1" x14ac:dyDescent="0.25">
      <c r="A156" s="57" t="s">
        <v>18</v>
      </c>
      <c r="B156" s="57" t="s">
        <v>18</v>
      </c>
      <c r="C156" s="57" t="s">
        <v>25</v>
      </c>
      <c r="D156" s="57" t="s">
        <v>18</v>
      </c>
      <c r="E156" s="57" t="s">
        <v>21</v>
      </c>
      <c r="F156" s="57" t="s">
        <v>18</v>
      </c>
      <c r="G156" s="57" t="s">
        <v>22</v>
      </c>
      <c r="H156" s="57" t="s">
        <v>19</v>
      </c>
      <c r="I156" s="57" t="s">
        <v>24</v>
      </c>
      <c r="J156" s="57" t="s">
        <v>18</v>
      </c>
      <c r="K156" s="57" t="s">
        <v>18</v>
      </c>
      <c r="L156" s="57" t="s">
        <v>20</v>
      </c>
      <c r="M156" s="57" t="s">
        <v>18</v>
      </c>
      <c r="N156" s="57" t="s">
        <v>18</v>
      </c>
      <c r="O156" s="57" t="s">
        <v>18</v>
      </c>
      <c r="P156" s="57" t="s">
        <v>18</v>
      </c>
      <c r="Q156" s="57" t="s">
        <v>18</v>
      </c>
      <c r="R156" s="145" t="s">
        <v>273</v>
      </c>
      <c r="S156" s="58" t="s">
        <v>0</v>
      </c>
      <c r="T156" s="1">
        <f>480-430+100+55-48</f>
        <v>157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62">
        <f t="shared" si="58"/>
        <v>157</v>
      </c>
      <c r="AB156" s="61">
        <v>2018</v>
      </c>
      <c r="AC156" s="33"/>
      <c r="AD156" s="116"/>
      <c r="AE156" s="116"/>
    </row>
    <row r="157" spans="1:31" s="54" customFormat="1" ht="63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290</v>
      </c>
      <c r="S157" s="55" t="s">
        <v>38</v>
      </c>
      <c r="T157" s="44">
        <v>4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52">
        <f t="shared" si="58"/>
        <v>4</v>
      </c>
      <c r="AB157" s="41">
        <v>2018</v>
      </c>
      <c r="AC157" s="114"/>
      <c r="AD157" s="53"/>
    </row>
    <row r="158" spans="1:31" s="54" customFormat="1" ht="47.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145" t="s">
        <v>136</v>
      </c>
      <c r="S158" s="58" t="s">
        <v>41</v>
      </c>
      <c r="T158" s="59">
        <v>0</v>
      </c>
      <c r="U158" s="59">
        <v>0</v>
      </c>
      <c r="V158" s="59">
        <v>1</v>
      </c>
      <c r="W158" s="59">
        <v>1</v>
      </c>
      <c r="X158" s="59">
        <v>1</v>
      </c>
      <c r="Y158" s="59">
        <v>1</v>
      </c>
      <c r="Z158" s="59">
        <v>1</v>
      </c>
      <c r="AA158" s="60">
        <v>1</v>
      </c>
      <c r="AB158" s="61">
        <v>2024</v>
      </c>
      <c r="AC158" s="114"/>
      <c r="AD158" s="53"/>
    </row>
    <row r="159" spans="1:31" ht="33.6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78</v>
      </c>
      <c r="S159" s="41" t="s">
        <v>38</v>
      </c>
      <c r="T159" s="2">
        <v>0</v>
      </c>
      <c r="U159" s="2">
        <v>0</v>
      </c>
      <c r="V159" s="2">
        <v>2</v>
      </c>
      <c r="W159" s="2">
        <v>2</v>
      </c>
      <c r="X159" s="2">
        <v>2</v>
      </c>
      <c r="Y159" s="2">
        <v>2</v>
      </c>
      <c r="Z159" s="2">
        <v>2</v>
      </c>
      <c r="AA159" s="52">
        <f>SUM(T159:Z159)</f>
        <v>10</v>
      </c>
      <c r="AB159" s="41">
        <v>2024</v>
      </c>
      <c r="AD159" s="107"/>
      <c r="AE159" s="107"/>
    </row>
    <row r="160" spans="1:31" ht="50.45" customHeight="1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145" t="s">
        <v>137</v>
      </c>
      <c r="S160" s="58" t="s">
        <v>41</v>
      </c>
      <c r="T160" s="59">
        <v>0</v>
      </c>
      <c r="U160" s="59">
        <v>0</v>
      </c>
      <c r="V160" s="59">
        <v>1</v>
      </c>
      <c r="W160" s="59">
        <v>1</v>
      </c>
      <c r="X160" s="59">
        <v>1</v>
      </c>
      <c r="Y160" s="59">
        <v>1</v>
      </c>
      <c r="Z160" s="59">
        <v>1</v>
      </c>
      <c r="AA160" s="60">
        <v>1</v>
      </c>
      <c r="AB160" s="61">
        <v>2024</v>
      </c>
      <c r="AD160" s="107"/>
      <c r="AE160" s="107"/>
    </row>
    <row r="161" spans="1:30" s="79" customFormat="1" ht="48.6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40" t="s">
        <v>138</v>
      </c>
      <c r="S161" s="65" t="s">
        <v>38</v>
      </c>
      <c r="T161" s="2">
        <v>0</v>
      </c>
      <c r="U161" s="2">
        <v>0</v>
      </c>
      <c r="V161" s="2">
        <v>30</v>
      </c>
      <c r="W161" s="2">
        <v>30</v>
      </c>
      <c r="X161" s="2">
        <v>30</v>
      </c>
      <c r="Y161" s="2">
        <v>30</v>
      </c>
      <c r="Z161" s="2">
        <v>30</v>
      </c>
      <c r="AA161" s="45">
        <f>SUM(T161:Z161)</f>
        <v>150</v>
      </c>
      <c r="AB161" s="41">
        <v>2024</v>
      </c>
      <c r="AC161" s="106"/>
    </row>
    <row r="162" spans="1:30" s="79" customFormat="1" ht="64.900000000000006" customHeight="1" x14ac:dyDescent="0.25">
      <c r="A162" s="57"/>
      <c r="B162" s="57"/>
      <c r="C162" s="57"/>
      <c r="D162" s="57" t="s">
        <v>18</v>
      </c>
      <c r="E162" s="57" t="s">
        <v>24</v>
      </c>
      <c r="F162" s="57" t="s">
        <v>18</v>
      </c>
      <c r="G162" s="57" t="s">
        <v>43</v>
      </c>
      <c r="H162" s="57" t="s">
        <v>19</v>
      </c>
      <c r="I162" s="57" t="s">
        <v>24</v>
      </c>
      <c r="J162" s="57" t="s">
        <v>18</v>
      </c>
      <c r="K162" s="57" t="s">
        <v>18</v>
      </c>
      <c r="L162" s="57" t="s">
        <v>20</v>
      </c>
      <c r="M162" s="57" t="s">
        <v>18</v>
      </c>
      <c r="N162" s="57" t="s">
        <v>18</v>
      </c>
      <c r="O162" s="57" t="s">
        <v>18</v>
      </c>
      <c r="P162" s="57" t="s">
        <v>18</v>
      </c>
      <c r="Q162" s="57" t="s">
        <v>18</v>
      </c>
      <c r="R162" s="149" t="s">
        <v>139</v>
      </c>
      <c r="S162" s="61" t="s">
        <v>0</v>
      </c>
      <c r="T162" s="62">
        <f t="shared" ref="T162:Z162" si="59">T169+T176+T183+T190+T197</f>
        <v>123487.5</v>
      </c>
      <c r="U162" s="62">
        <f t="shared" si="59"/>
        <v>86341.199999999983</v>
      </c>
      <c r="V162" s="62">
        <f t="shared" si="59"/>
        <v>7300</v>
      </c>
      <c r="W162" s="62">
        <f t="shared" si="59"/>
        <v>7300</v>
      </c>
      <c r="X162" s="62">
        <f t="shared" si="59"/>
        <v>7300</v>
      </c>
      <c r="Y162" s="62">
        <f t="shared" si="59"/>
        <v>6200</v>
      </c>
      <c r="Z162" s="62">
        <f t="shared" si="59"/>
        <v>6200</v>
      </c>
      <c r="AA162" s="62">
        <f>SUM(T162:Z162)</f>
        <v>244128.69999999998</v>
      </c>
      <c r="AB162" s="61">
        <v>2024</v>
      </c>
      <c r="AC162" s="111"/>
    </row>
    <row r="163" spans="1:30" s="79" customFormat="1" ht="19.899999999999999" hidden="1" customHeight="1" x14ac:dyDescent="0.25">
      <c r="A163" s="57"/>
      <c r="B163" s="57"/>
      <c r="C163" s="57"/>
      <c r="D163" s="57" t="s">
        <v>18</v>
      </c>
      <c r="E163" s="57" t="s">
        <v>24</v>
      </c>
      <c r="F163" s="57" t="s">
        <v>18</v>
      </c>
      <c r="G163" s="57" t="s">
        <v>43</v>
      </c>
      <c r="H163" s="57" t="s">
        <v>19</v>
      </c>
      <c r="I163" s="57" t="s">
        <v>24</v>
      </c>
      <c r="J163" s="57" t="s">
        <v>18</v>
      </c>
      <c r="K163" s="57" t="s">
        <v>18</v>
      </c>
      <c r="L163" s="57" t="s">
        <v>20</v>
      </c>
      <c r="M163" s="57" t="s">
        <v>37</v>
      </c>
      <c r="N163" s="57" t="s">
        <v>18</v>
      </c>
      <c r="O163" s="57" t="s">
        <v>20</v>
      </c>
      <c r="P163" s="57" t="s">
        <v>19</v>
      </c>
      <c r="Q163" s="57" t="s">
        <v>39</v>
      </c>
      <c r="R163" s="149"/>
      <c r="S163" s="58" t="s">
        <v>0</v>
      </c>
      <c r="T163" s="1">
        <f t="shared" ref="T163:Z164" si="60">T171+T178+T185+T192</f>
        <v>0</v>
      </c>
      <c r="U163" s="1">
        <f t="shared" si="60"/>
        <v>18179.999999999996</v>
      </c>
      <c r="V163" s="1">
        <f t="shared" si="60"/>
        <v>5779.7</v>
      </c>
      <c r="W163" s="1">
        <f t="shared" si="60"/>
        <v>7300</v>
      </c>
      <c r="X163" s="1">
        <f t="shared" si="60"/>
        <v>7300</v>
      </c>
      <c r="Y163" s="1">
        <f t="shared" si="60"/>
        <v>5600.7</v>
      </c>
      <c r="Z163" s="1">
        <f t="shared" si="60"/>
        <v>5600.7</v>
      </c>
      <c r="AA163" s="62">
        <f>T163+U163+V163+W163+X163+Y163</f>
        <v>44160.399999999994</v>
      </c>
      <c r="AB163" s="61">
        <v>2023</v>
      </c>
      <c r="AC163" s="106"/>
    </row>
    <row r="164" spans="1:30" s="79" customFormat="1" ht="19.899999999999999" hidden="1" customHeight="1" x14ac:dyDescent="0.25">
      <c r="A164" s="57"/>
      <c r="B164" s="57"/>
      <c r="C164" s="57"/>
      <c r="D164" s="57" t="s">
        <v>18</v>
      </c>
      <c r="E164" s="57" t="s">
        <v>24</v>
      </c>
      <c r="F164" s="57" t="s">
        <v>18</v>
      </c>
      <c r="G164" s="57" t="s">
        <v>43</v>
      </c>
      <c r="H164" s="57" t="s">
        <v>19</v>
      </c>
      <c r="I164" s="57" t="s">
        <v>24</v>
      </c>
      <c r="J164" s="57" t="s">
        <v>18</v>
      </c>
      <c r="K164" s="57" t="s">
        <v>18</v>
      </c>
      <c r="L164" s="57" t="s">
        <v>20</v>
      </c>
      <c r="M164" s="57" t="s">
        <v>18</v>
      </c>
      <c r="N164" s="57" t="s">
        <v>18</v>
      </c>
      <c r="O164" s="57" t="s">
        <v>18</v>
      </c>
      <c r="P164" s="57" t="s">
        <v>18</v>
      </c>
      <c r="Q164" s="57" t="s">
        <v>18</v>
      </c>
      <c r="R164" s="149"/>
      <c r="S164" s="58" t="s">
        <v>0</v>
      </c>
      <c r="T164" s="1">
        <f t="shared" si="60"/>
        <v>0</v>
      </c>
      <c r="U164" s="1">
        <f t="shared" si="60"/>
        <v>896.59999999999991</v>
      </c>
      <c r="V164" s="1">
        <f t="shared" si="60"/>
        <v>1520.3000000000002</v>
      </c>
      <c r="W164" s="1">
        <f t="shared" si="60"/>
        <v>0</v>
      </c>
      <c r="X164" s="1">
        <f t="shared" si="60"/>
        <v>0</v>
      </c>
      <c r="Y164" s="1">
        <f t="shared" si="60"/>
        <v>599.29999999999995</v>
      </c>
      <c r="Z164" s="1">
        <f t="shared" si="60"/>
        <v>599.29999999999995</v>
      </c>
      <c r="AA164" s="62">
        <f>T164+U164+V164+W164+X164+Y164</f>
        <v>3016.2</v>
      </c>
      <c r="AB164" s="61">
        <v>2023</v>
      </c>
      <c r="AC164" s="106"/>
    </row>
    <row r="165" spans="1:30" s="79" customFormat="1" ht="63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81" t="s">
        <v>192</v>
      </c>
      <c r="S165" s="65" t="s">
        <v>52</v>
      </c>
      <c r="T165" s="3">
        <f>T201</f>
        <v>58.6</v>
      </c>
      <c r="U165" s="3">
        <f t="shared" ref="U165:Z165" si="61">U201+U194+U187+U180+U173</f>
        <v>38.200000000000003</v>
      </c>
      <c r="V165" s="3">
        <f t="shared" si="61"/>
        <v>15.100000000000001</v>
      </c>
      <c r="W165" s="3">
        <f t="shared" si="61"/>
        <v>15.100000000000001</v>
      </c>
      <c r="X165" s="3">
        <f t="shared" si="61"/>
        <v>15.100000000000001</v>
      </c>
      <c r="Y165" s="3">
        <f t="shared" si="61"/>
        <v>15.100000000000001</v>
      </c>
      <c r="Z165" s="3">
        <f t="shared" si="61"/>
        <v>15.100000000000001</v>
      </c>
      <c r="AA165" s="6">
        <f>SUM(T165:Z165)</f>
        <v>172.29999999999998</v>
      </c>
      <c r="AB165" s="41">
        <v>2024</v>
      </c>
      <c r="AC165" s="106"/>
    </row>
    <row r="166" spans="1:30" s="79" customFormat="1" ht="31.15" hidden="1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82" t="s">
        <v>51</v>
      </c>
      <c r="S166" s="65"/>
      <c r="T166" s="3">
        <f>T202</f>
        <v>28</v>
      </c>
      <c r="U166" s="3"/>
      <c r="V166" s="3"/>
      <c r="W166" s="3"/>
      <c r="X166" s="3"/>
      <c r="Y166" s="3"/>
      <c r="Z166" s="3"/>
      <c r="AA166" s="6"/>
      <c r="AB166" s="41"/>
      <c r="AC166" s="106"/>
    </row>
    <row r="167" spans="1:30" s="79" customFormat="1" ht="31.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83" t="s">
        <v>193</v>
      </c>
      <c r="S167" s="65" t="s">
        <v>38</v>
      </c>
      <c r="T167" s="44">
        <f>T202</f>
        <v>28</v>
      </c>
      <c r="U167" s="44">
        <f>U174+U181+U188+U195+U202</f>
        <v>20</v>
      </c>
      <c r="V167" s="44">
        <f>V174+V181+V188+V195</f>
        <v>9</v>
      </c>
      <c r="W167" s="44">
        <f>W174+W181+W188+W195</f>
        <v>11</v>
      </c>
      <c r="X167" s="44">
        <f>X174+X181+X188+X195</f>
        <v>11</v>
      </c>
      <c r="Y167" s="44">
        <f>Y174+Y181+Y188+Y195</f>
        <v>11</v>
      </c>
      <c r="Z167" s="44">
        <f>Z174+Z181+Z188+Z195</f>
        <v>11</v>
      </c>
      <c r="AA167" s="52">
        <f>SUM(T167:Z167)</f>
        <v>101</v>
      </c>
      <c r="AB167" s="41">
        <v>2024</v>
      </c>
      <c r="AC167" s="106"/>
      <c r="AD167" s="84"/>
    </row>
    <row r="168" spans="1:30" s="137" customFormat="1" ht="47.2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81" t="s">
        <v>313</v>
      </c>
      <c r="S168" s="55" t="s">
        <v>38</v>
      </c>
      <c r="T168" s="44">
        <v>0</v>
      </c>
      <c r="U168" s="44">
        <f>U175+U182+U189+U196</f>
        <v>20</v>
      </c>
      <c r="V168" s="44">
        <v>0</v>
      </c>
      <c r="W168" s="44">
        <v>0</v>
      </c>
      <c r="X168" s="44">
        <v>0</v>
      </c>
      <c r="Y168" s="44">
        <v>0</v>
      </c>
      <c r="Z168" s="44">
        <v>0</v>
      </c>
      <c r="AA168" s="52">
        <f>SUM(T168:Z168)</f>
        <v>20</v>
      </c>
      <c r="AB168" s="41">
        <v>2019</v>
      </c>
      <c r="AC168" s="114"/>
      <c r="AD168" s="136"/>
    </row>
    <row r="169" spans="1:30" s="79" customFormat="1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149" t="s">
        <v>139</v>
      </c>
      <c r="S169" s="58" t="s">
        <v>0</v>
      </c>
      <c r="T169" s="62">
        <f>SUM(T171:T172)</f>
        <v>0</v>
      </c>
      <c r="U169" s="62">
        <f>SUM(U170:U172)</f>
        <v>26850.299999999996</v>
      </c>
      <c r="V169" s="62">
        <f t="shared" ref="V169:Z169" si="62">SUM(V170:V172)</f>
        <v>2800</v>
      </c>
      <c r="W169" s="62">
        <f t="shared" si="62"/>
        <v>2800</v>
      </c>
      <c r="X169" s="62">
        <f t="shared" si="62"/>
        <v>2800</v>
      </c>
      <c r="Y169" s="62">
        <f t="shared" si="62"/>
        <v>1700</v>
      </c>
      <c r="Z169" s="62">
        <f t="shared" si="62"/>
        <v>1700</v>
      </c>
      <c r="AA169" s="62">
        <f>SUM(T169:Z169)</f>
        <v>38650.299999999996</v>
      </c>
      <c r="AB169" s="61">
        <v>2024</v>
      </c>
      <c r="AC169" s="106"/>
      <c r="AD169" s="84"/>
    </row>
    <row r="170" spans="1:30" s="79" customFormat="1" x14ac:dyDescent="0.25">
      <c r="A170" s="57" t="s">
        <v>18</v>
      </c>
      <c r="B170" s="57" t="s">
        <v>18</v>
      </c>
      <c r="C170" s="57" t="s">
        <v>22</v>
      </c>
      <c r="D170" s="57" t="s">
        <v>18</v>
      </c>
      <c r="E170" s="57" t="s">
        <v>24</v>
      </c>
      <c r="F170" s="57" t="s">
        <v>18</v>
      </c>
      <c r="G170" s="57" t="s">
        <v>43</v>
      </c>
      <c r="H170" s="57" t="s">
        <v>19</v>
      </c>
      <c r="I170" s="57" t="s">
        <v>24</v>
      </c>
      <c r="J170" s="57" t="s">
        <v>18</v>
      </c>
      <c r="K170" s="57" t="s">
        <v>18</v>
      </c>
      <c r="L170" s="57" t="s">
        <v>20</v>
      </c>
      <c r="M170" s="57" t="s">
        <v>19</v>
      </c>
      <c r="N170" s="57" t="s">
        <v>18</v>
      </c>
      <c r="O170" s="57" t="s">
        <v>184</v>
      </c>
      <c r="P170" s="57" t="s">
        <v>21</v>
      </c>
      <c r="Q170" s="57" t="s">
        <v>25</v>
      </c>
      <c r="R170" s="149"/>
      <c r="S170" s="58" t="s">
        <v>0</v>
      </c>
      <c r="T170" s="1">
        <v>0</v>
      </c>
      <c r="U170" s="1">
        <f>16800.1+4329.1</f>
        <v>21129.199999999997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62">
        <f t="shared" ref="AA170" si="63">SUM(T170:Z170)</f>
        <v>21129.199999999997</v>
      </c>
      <c r="AB170" s="61">
        <v>2024</v>
      </c>
      <c r="AC170" s="106"/>
      <c r="AD170" s="84"/>
    </row>
    <row r="171" spans="1:30" s="79" customFormat="1" x14ac:dyDescent="0.25">
      <c r="A171" s="57" t="s">
        <v>18</v>
      </c>
      <c r="B171" s="57" t="s">
        <v>18</v>
      </c>
      <c r="C171" s="57" t="s">
        <v>22</v>
      </c>
      <c r="D171" s="57" t="s">
        <v>18</v>
      </c>
      <c r="E171" s="57" t="s">
        <v>24</v>
      </c>
      <c r="F171" s="57" t="s">
        <v>18</v>
      </c>
      <c r="G171" s="57" t="s">
        <v>43</v>
      </c>
      <c r="H171" s="57" t="s">
        <v>19</v>
      </c>
      <c r="I171" s="57" t="s">
        <v>24</v>
      </c>
      <c r="J171" s="57" t="s">
        <v>18</v>
      </c>
      <c r="K171" s="57" t="s">
        <v>18</v>
      </c>
      <c r="L171" s="57" t="s">
        <v>20</v>
      </c>
      <c r="M171" s="57" t="s">
        <v>37</v>
      </c>
      <c r="N171" s="57" t="s">
        <v>18</v>
      </c>
      <c r="O171" s="57" t="s">
        <v>184</v>
      </c>
      <c r="P171" s="57" t="s">
        <v>21</v>
      </c>
      <c r="Q171" s="57" t="s">
        <v>25</v>
      </c>
      <c r="R171" s="149"/>
      <c r="S171" s="58" t="s">
        <v>0</v>
      </c>
      <c r="T171" s="1">
        <v>0</v>
      </c>
      <c r="U171" s="1">
        <f>4199.9+2224.5-291-681.9</f>
        <v>5451.5</v>
      </c>
      <c r="V171" s="1">
        <v>2529.4</v>
      </c>
      <c r="W171" s="1">
        <v>2800</v>
      </c>
      <c r="X171" s="1">
        <v>2800</v>
      </c>
      <c r="Y171" s="1">
        <v>1535.7</v>
      </c>
      <c r="Z171" s="1">
        <v>1535.7</v>
      </c>
      <c r="AA171" s="62">
        <f t="shared" ref="AA171:AA172" si="64">SUM(T171:Z171)</f>
        <v>16652.3</v>
      </c>
      <c r="AB171" s="61">
        <v>2024</v>
      </c>
      <c r="AC171" s="106"/>
      <c r="AD171" s="84"/>
    </row>
    <row r="172" spans="1:30" s="79" customFormat="1" x14ac:dyDescent="0.25">
      <c r="A172" s="57" t="s">
        <v>18</v>
      </c>
      <c r="B172" s="57" t="s">
        <v>18</v>
      </c>
      <c r="C172" s="57" t="s">
        <v>22</v>
      </c>
      <c r="D172" s="57" t="s">
        <v>18</v>
      </c>
      <c r="E172" s="57" t="s">
        <v>24</v>
      </c>
      <c r="F172" s="57" t="s">
        <v>18</v>
      </c>
      <c r="G172" s="57" t="s">
        <v>43</v>
      </c>
      <c r="H172" s="57" t="s">
        <v>19</v>
      </c>
      <c r="I172" s="57" t="s">
        <v>24</v>
      </c>
      <c r="J172" s="57" t="s">
        <v>18</v>
      </c>
      <c r="K172" s="57" t="s">
        <v>18</v>
      </c>
      <c r="L172" s="57" t="s">
        <v>20</v>
      </c>
      <c r="M172" s="57" t="s">
        <v>18</v>
      </c>
      <c r="N172" s="57" t="s">
        <v>18</v>
      </c>
      <c r="O172" s="57" t="s">
        <v>18</v>
      </c>
      <c r="P172" s="57" t="s">
        <v>18</v>
      </c>
      <c r="Q172" s="57" t="s">
        <v>18</v>
      </c>
      <c r="R172" s="149"/>
      <c r="S172" s="58" t="s">
        <v>0</v>
      </c>
      <c r="T172" s="1">
        <v>0</v>
      </c>
      <c r="U172" s="1">
        <f>164.3-164.3+200+449.4+50.8-371.3-59.3</f>
        <v>269.59999999999991</v>
      </c>
      <c r="V172" s="1">
        <v>270.60000000000002</v>
      </c>
      <c r="W172" s="1">
        <v>0</v>
      </c>
      <c r="X172" s="1">
        <v>0</v>
      </c>
      <c r="Y172" s="1">
        <v>164.3</v>
      </c>
      <c r="Z172" s="1">
        <v>164.3</v>
      </c>
      <c r="AA172" s="62">
        <f t="shared" si="64"/>
        <v>868.8</v>
      </c>
      <c r="AB172" s="61">
        <v>2024</v>
      </c>
      <c r="AC172" s="106"/>
      <c r="AD172" s="84"/>
    </row>
    <row r="173" spans="1:30" s="79" customFormat="1" ht="63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81" t="s">
        <v>302</v>
      </c>
      <c r="S173" s="65" t="s">
        <v>42</v>
      </c>
      <c r="T173" s="3">
        <v>0</v>
      </c>
      <c r="U173" s="3">
        <v>11.6</v>
      </c>
      <c r="V173" s="3">
        <v>6.8</v>
      </c>
      <c r="W173" s="3">
        <v>4.3</v>
      </c>
      <c r="X173" s="3">
        <v>4.3</v>
      </c>
      <c r="Y173" s="3">
        <v>4.3</v>
      </c>
      <c r="Z173" s="3">
        <v>4.3</v>
      </c>
      <c r="AA173" s="6">
        <f>SUM(T173:Z173)</f>
        <v>35.6</v>
      </c>
      <c r="AB173" s="41">
        <v>2024</v>
      </c>
      <c r="AC173" s="106"/>
    </row>
    <row r="174" spans="1:30" s="79" customFormat="1" ht="47.2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83" t="s">
        <v>303</v>
      </c>
      <c r="S174" s="65" t="s">
        <v>38</v>
      </c>
      <c r="T174" s="44">
        <v>0</v>
      </c>
      <c r="U174" s="44">
        <v>8</v>
      </c>
      <c r="V174" s="44">
        <v>3</v>
      </c>
      <c r="W174" s="44">
        <v>4</v>
      </c>
      <c r="X174" s="44">
        <v>4</v>
      </c>
      <c r="Y174" s="44">
        <v>4</v>
      </c>
      <c r="Z174" s="44">
        <v>4</v>
      </c>
      <c r="AA174" s="52">
        <f>SUM(T174:Z174)</f>
        <v>27</v>
      </c>
      <c r="AB174" s="41">
        <v>2024</v>
      </c>
      <c r="AC174" s="106"/>
      <c r="AD174" s="84"/>
    </row>
    <row r="175" spans="1:30" s="137" customFormat="1" ht="63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81" t="s">
        <v>314</v>
      </c>
      <c r="S175" s="55" t="s">
        <v>38</v>
      </c>
      <c r="T175" s="44">
        <v>0</v>
      </c>
      <c r="U175" s="44">
        <v>8</v>
      </c>
      <c r="V175" s="44">
        <v>0</v>
      </c>
      <c r="W175" s="44">
        <v>0</v>
      </c>
      <c r="X175" s="44">
        <v>0</v>
      </c>
      <c r="Y175" s="44">
        <v>0</v>
      </c>
      <c r="Z175" s="44">
        <v>0</v>
      </c>
      <c r="AA175" s="52">
        <f>SUM(T175:Z175)</f>
        <v>8</v>
      </c>
      <c r="AB175" s="41">
        <v>2019</v>
      </c>
      <c r="AC175" s="114"/>
      <c r="AD175" s="136"/>
    </row>
    <row r="176" spans="1:30" s="79" customFormat="1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149" t="s">
        <v>139</v>
      </c>
      <c r="S176" s="58" t="s">
        <v>0</v>
      </c>
      <c r="T176" s="62">
        <f>T178+T179</f>
        <v>0</v>
      </c>
      <c r="U176" s="62">
        <f>SUM(U177:U179)</f>
        <v>22882.399999999998</v>
      </c>
      <c r="V176" s="62">
        <f t="shared" ref="V176:Z176" si="65">SUM(V177:V179)</f>
        <v>1500</v>
      </c>
      <c r="W176" s="62">
        <f t="shared" si="65"/>
        <v>1500</v>
      </c>
      <c r="X176" s="62">
        <f t="shared" si="65"/>
        <v>1500</v>
      </c>
      <c r="Y176" s="62">
        <f t="shared" si="65"/>
        <v>1500</v>
      </c>
      <c r="Z176" s="62">
        <f t="shared" si="65"/>
        <v>1500</v>
      </c>
      <c r="AA176" s="62">
        <f>SUM(T176:Z176)</f>
        <v>30382.399999999998</v>
      </c>
      <c r="AB176" s="61">
        <v>2024</v>
      </c>
      <c r="AC176" s="106"/>
    </row>
    <row r="177" spans="1:30" s="79" customFormat="1" x14ac:dyDescent="0.25">
      <c r="A177" s="57" t="s">
        <v>18</v>
      </c>
      <c r="B177" s="57" t="s">
        <v>18</v>
      </c>
      <c r="C177" s="57" t="s">
        <v>24</v>
      </c>
      <c r="D177" s="57" t="s">
        <v>18</v>
      </c>
      <c r="E177" s="57" t="s">
        <v>24</v>
      </c>
      <c r="F177" s="57" t="s">
        <v>18</v>
      </c>
      <c r="G177" s="57" t="s">
        <v>43</v>
      </c>
      <c r="H177" s="57" t="s">
        <v>19</v>
      </c>
      <c r="I177" s="57" t="s">
        <v>24</v>
      </c>
      <c r="J177" s="57" t="s">
        <v>18</v>
      </c>
      <c r="K177" s="57" t="s">
        <v>18</v>
      </c>
      <c r="L177" s="57" t="s">
        <v>20</v>
      </c>
      <c r="M177" s="57" t="s">
        <v>19</v>
      </c>
      <c r="N177" s="57" t="s">
        <v>18</v>
      </c>
      <c r="O177" s="57" t="s">
        <v>184</v>
      </c>
      <c r="P177" s="57" t="s">
        <v>21</v>
      </c>
      <c r="Q177" s="57" t="s">
        <v>25</v>
      </c>
      <c r="R177" s="149"/>
      <c r="S177" s="58" t="s">
        <v>0</v>
      </c>
      <c r="T177" s="1">
        <f>T179+T180</f>
        <v>0</v>
      </c>
      <c r="U177" s="1">
        <f>14400.1+2862.7</f>
        <v>17262.8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62">
        <f t="shared" ref="AA177:AA179" si="66">SUM(T177:Z177)</f>
        <v>17262.8</v>
      </c>
      <c r="AB177" s="61">
        <v>2024</v>
      </c>
      <c r="AC177" s="106"/>
    </row>
    <row r="178" spans="1:30" s="79" customFormat="1" x14ac:dyDescent="0.25">
      <c r="A178" s="57" t="s">
        <v>18</v>
      </c>
      <c r="B178" s="57" t="s">
        <v>18</v>
      </c>
      <c r="C178" s="57" t="s">
        <v>24</v>
      </c>
      <c r="D178" s="57" t="s">
        <v>18</v>
      </c>
      <c r="E178" s="57" t="s">
        <v>24</v>
      </c>
      <c r="F178" s="57" t="s">
        <v>18</v>
      </c>
      <c r="G178" s="57" t="s">
        <v>43</v>
      </c>
      <c r="H178" s="57" t="s">
        <v>19</v>
      </c>
      <c r="I178" s="57" t="s">
        <v>24</v>
      </c>
      <c r="J178" s="57" t="s">
        <v>18</v>
      </c>
      <c r="K178" s="57" t="s">
        <v>18</v>
      </c>
      <c r="L178" s="57" t="s">
        <v>20</v>
      </c>
      <c r="M178" s="57" t="s">
        <v>37</v>
      </c>
      <c r="N178" s="57" t="s">
        <v>18</v>
      </c>
      <c r="O178" s="57" t="s">
        <v>184</v>
      </c>
      <c r="P178" s="57" t="s">
        <v>21</v>
      </c>
      <c r="Q178" s="57" t="s">
        <v>25</v>
      </c>
      <c r="R178" s="149"/>
      <c r="S178" s="58" t="s">
        <v>0</v>
      </c>
      <c r="T178" s="1">
        <v>0</v>
      </c>
      <c r="U178" s="1">
        <f>3599.9+2545.7-290-443.1</f>
        <v>5412.5</v>
      </c>
      <c r="V178" s="1">
        <v>1096.5</v>
      </c>
      <c r="W178" s="1">
        <v>1500</v>
      </c>
      <c r="X178" s="1">
        <v>1500</v>
      </c>
      <c r="Y178" s="1">
        <v>1355</v>
      </c>
      <c r="Z178" s="1">
        <v>1355</v>
      </c>
      <c r="AA178" s="62">
        <f t="shared" si="66"/>
        <v>12219</v>
      </c>
      <c r="AB178" s="61">
        <v>2024</v>
      </c>
      <c r="AC178" s="106"/>
    </row>
    <row r="179" spans="1:30" s="79" customFormat="1" x14ac:dyDescent="0.25">
      <c r="A179" s="57" t="s">
        <v>18</v>
      </c>
      <c r="B179" s="57" t="s">
        <v>18</v>
      </c>
      <c r="C179" s="57" t="s">
        <v>24</v>
      </c>
      <c r="D179" s="57" t="s">
        <v>18</v>
      </c>
      <c r="E179" s="57" t="s">
        <v>24</v>
      </c>
      <c r="F179" s="57" t="s">
        <v>18</v>
      </c>
      <c r="G179" s="57" t="s">
        <v>43</v>
      </c>
      <c r="H179" s="57" t="s">
        <v>19</v>
      </c>
      <c r="I179" s="57" t="s">
        <v>24</v>
      </c>
      <c r="J179" s="57" t="s">
        <v>18</v>
      </c>
      <c r="K179" s="57" t="s">
        <v>18</v>
      </c>
      <c r="L179" s="57" t="s">
        <v>20</v>
      </c>
      <c r="M179" s="57" t="s">
        <v>18</v>
      </c>
      <c r="N179" s="57" t="s">
        <v>18</v>
      </c>
      <c r="O179" s="57" t="s">
        <v>18</v>
      </c>
      <c r="P179" s="57" t="s">
        <v>18</v>
      </c>
      <c r="Q179" s="57" t="s">
        <v>18</v>
      </c>
      <c r="R179" s="149"/>
      <c r="S179" s="58" t="s">
        <v>0</v>
      </c>
      <c r="T179" s="1">
        <v>0</v>
      </c>
      <c r="U179" s="1">
        <f>145-145+100+385.2+30.4-308.5</f>
        <v>207.10000000000002</v>
      </c>
      <c r="V179" s="1">
        <v>403.5</v>
      </c>
      <c r="W179" s="1">
        <v>0</v>
      </c>
      <c r="X179" s="1">
        <v>0</v>
      </c>
      <c r="Y179" s="1">
        <v>145</v>
      </c>
      <c r="Z179" s="1">
        <v>145</v>
      </c>
      <c r="AA179" s="62">
        <f t="shared" si="66"/>
        <v>900.6</v>
      </c>
      <c r="AB179" s="61">
        <v>2024</v>
      </c>
      <c r="AC179" s="106"/>
    </row>
    <row r="180" spans="1:30" s="79" customFormat="1" ht="63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81" t="s">
        <v>304</v>
      </c>
      <c r="S180" s="65" t="s">
        <v>52</v>
      </c>
      <c r="T180" s="3">
        <v>0</v>
      </c>
      <c r="U180" s="3">
        <v>10.6</v>
      </c>
      <c r="V180" s="3">
        <v>3</v>
      </c>
      <c r="W180" s="3">
        <v>3.5</v>
      </c>
      <c r="X180" s="3">
        <v>3.5</v>
      </c>
      <c r="Y180" s="3">
        <v>3.5</v>
      </c>
      <c r="Z180" s="3">
        <v>3.5</v>
      </c>
      <c r="AA180" s="6">
        <f>SUM(T180:Z180)</f>
        <v>27.6</v>
      </c>
      <c r="AB180" s="41">
        <v>2024</v>
      </c>
      <c r="AC180" s="106"/>
    </row>
    <row r="181" spans="1:30" s="79" customFormat="1" ht="47.2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83" t="s">
        <v>305</v>
      </c>
      <c r="S181" s="65" t="s">
        <v>38</v>
      </c>
      <c r="T181" s="44">
        <v>0</v>
      </c>
      <c r="U181" s="44">
        <v>4</v>
      </c>
      <c r="V181" s="44">
        <v>2</v>
      </c>
      <c r="W181" s="44">
        <v>2</v>
      </c>
      <c r="X181" s="44">
        <v>2</v>
      </c>
      <c r="Y181" s="44">
        <v>2</v>
      </c>
      <c r="Z181" s="44">
        <v>2</v>
      </c>
      <c r="AA181" s="52">
        <f>SUM(T181:Z181)</f>
        <v>14</v>
      </c>
      <c r="AB181" s="41">
        <v>2024</v>
      </c>
      <c r="AC181" s="106"/>
      <c r="AD181" s="84"/>
    </row>
    <row r="182" spans="1:30" s="137" customFormat="1" ht="63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81" t="s">
        <v>315</v>
      </c>
      <c r="S182" s="55" t="s">
        <v>38</v>
      </c>
      <c r="T182" s="44">
        <v>0</v>
      </c>
      <c r="U182" s="44">
        <v>4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52">
        <f>SUM(T182:Z182)</f>
        <v>4</v>
      </c>
      <c r="AB182" s="41">
        <v>2019</v>
      </c>
      <c r="AC182" s="114"/>
      <c r="AD182" s="136"/>
    </row>
    <row r="183" spans="1:30" s="79" customFormat="1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149" t="s">
        <v>139</v>
      </c>
      <c r="S183" s="58" t="s">
        <v>0</v>
      </c>
      <c r="T183" s="62">
        <f>T185+T186</f>
        <v>0</v>
      </c>
      <c r="U183" s="62">
        <f>SUM(U184:U186)</f>
        <v>25870.1</v>
      </c>
      <c r="V183" s="62">
        <f t="shared" ref="V183:Z183" si="67">SUM(V184:V186)</f>
        <v>1500</v>
      </c>
      <c r="W183" s="62">
        <f t="shared" si="67"/>
        <v>1500</v>
      </c>
      <c r="X183" s="62">
        <f t="shared" si="67"/>
        <v>1500</v>
      </c>
      <c r="Y183" s="62">
        <f t="shared" si="67"/>
        <v>1500</v>
      </c>
      <c r="Z183" s="62">
        <f t="shared" si="67"/>
        <v>1500</v>
      </c>
      <c r="AA183" s="62">
        <f>SUM(T183:Z183)</f>
        <v>33370.1</v>
      </c>
      <c r="AB183" s="61">
        <v>2024</v>
      </c>
      <c r="AC183" s="106"/>
    </row>
    <row r="184" spans="1:30" s="79" customFormat="1" x14ac:dyDescent="0.25">
      <c r="A184" s="57" t="s">
        <v>18</v>
      </c>
      <c r="B184" s="57" t="s">
        <v>18</v>
      </c>
      <c r="C184" s="57" t="s">
        <v>21</v>
      </c>
      <c r="D184" s="57" t="s">
        <v>18</v>
      </c>
      <c r="E184" s="57" t="s">
        <v>24</v>
      </c>
      <c r="F184" s="57" t="s">
        <v>18</v>
      </c>
      <c r="G184" s="57" t="s">
        <v>43</v>
      </c>
      <c r="H184" s="57" t="s">
        <v>19</v>
      </c>
      <c r="I184" s="57" t="s">
        <v>24</v>
      </c>
      <c r="J184" s="57" t="s">
        <v>18</v>
      </c>
      <c r="K184" s="57" t="s">
        <v>18</v>
      </c>
      <c r="L184" s="57" t="s">
        <v>20</v>
      </c>
      <c r="M184" s="57" t="s">
        <v>19</v>
      </c>
      <c r="N184" s="57" t="s">
        <v>18</v>
      </c>
      <c r="O184" s="57" t="s">
        <v>184</v>
      </c>
      <c r="P184" s="57" t="s">
        <v>21</v>
      </c>
      <c r="Q184" s="57" t="s">
        <v>25</v>
      </c>
      <c r="R184" s="149"/>
      <c r="S184" s="58" t="s">
        <v>0</v>
      </c>
      <c r="T184" s="1">
        <v>0</v>
      </c>
      <c r="U184" s="1">
        <f>16800.1+3497.2</f>
        <v>20297.3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62">
        <f t="shared" ref="AA184:AA185" si="68">SUM(T184:Z184)</f>
        <v>20297.3</v>
      </c>
      <c r="AB184" s="61">
        <v>2024</v>
      </c>
      <c r="AC184" s="106"/>
    </row>
    <row r="185" spans="1:30" s="79" customFormat="1" x14ac:dyDescent="0.25">
      <c r="A185" s="57" t="s">
        <v>18</v>
      </c>
      <c r="B185" s="57" t="s">
        <v>18</v>
      </c>
      <c r="C185" s="57" t="s">
        <v>21</v>
      </c>
      <c r="D185" s="57" t="s">
        <v>18</v>
      </c>
      <c r="E185" s="57" t="s">
        <v>24</v>
      </c>
      <c r="F185" s="57" t="s">
        <v>18</v>
      </c>
      <c r="G185" s="57" t="s">
        <v>43</v>
      </c>
      <c r="H185" s="57" t="s">
        <v>19</v>
      </c>
      <c r="I185" s="57" t="s">
        <v>24</v>
      </c>
      <c r="J185" s="57" t="s">
        <v>18</v>
      </c>
      <c r="K185" s="57" t="s">
        <v>18</v>
      </c>
      <c r="L185" s="57" t="s">
        <v>20</v>
      </c>
      <c r="M185" s="57" t="s">
        <v>37</v>
      </c>
      <c r="N185" s="57" t="s">
        <v>18</v>
      </c>
      <c r="O185" s="57" t="s">
        <v>184</v>
      </c>
      <c r="P185" s="57" t="s">
        <v>21</v>
      </c>
      <c r="Q185" s="57" t="s">
        <v>25</v>
      </c>
      <c r="R185" s="149"/>
      <c r="S185" s="58" t="s">
        <v>0</v>
      </c>
      <c r="T185" s="1">
        <v>0</v>
      </c>
      <c r="U185" s="1">
        <f>4199.9+588.4+1708.4-290-845.8</f>
        <v>5360.8999999999987</v>
      </c>
      <c r="V185" s="1">
        <v>1355</v>
      </c>
      <c r="W185" s="1">
        <v>1500</v>
      </c>
      <c r="X185" s="1">
        <v>1500</v>
      </c>
      <c r="Y185" s="1">
        <v>1355</v>
      </c>
      <c r="Z185" s="1">
        <v>1355</v>
      </c>
      <c r="AA185" s="62">
        <f t="shared" si="68"/>
        <v>12425.899999999998</v>
      </c>
      <c r="AB185" s="61">
        <v>2024</v>
      </c>
      <c r="AC185" s="106"/>
    </row>
    <row r="186" spans="1:30" s="79" customFormat="1" x14ac:dyDescent="0.25">
      <c r="A186" s="57" t="s">
        <v>18</v>
      </c>
      <c r="B186" s="57" t="s">
        <v>18</v>
      </c>
      <c r="C186" s="57" t="s">
        <v>21</v>
      </c>
      <c r="D186" s="57" t="s">
        <v>18</v>
      </c>
      <c r="E186" s="57" t="s">
        <v>24</v>
      </c>
      <c r="F186" s="57" t="s">
        <v>18</v>
      </c>
      <c r="G186" s="57" t="s">
        <v>43</v>
      </c>
      <c r="H186" s="57" t="s">
        <v>19</v>
      </c>
      <c r="I186" s="57" t="s">
        <v>24</v>
      </c>
      <c r="J186" s="57" t="s">
        <v>18</v>
      </c>
      <c r="K186" s="57" t="s">
        <v>18</v>
      </c>
      <c r="L186" s="57" t="s">
        <v>20</v>
      </c>
      <c r="M186" s="57" t="s">
        <v>18</v>
      </c>
      <c r="N186" s="57" t="s">
        <v>18</v>
      </c>
      <c r="O186" s="57" t="s">
        <v>18</v>
      </c>
      <c r="P186" s="57" t="s">
        <v>18</v>
      </c>
      <c r="Q186" s="57" t="s">
        <v>18</v>
      </c>
      <c r="R186" s="149"/>
      <c r="S186" s="58" t="s">
        <v>0</v>
      </c>
      <c r="T186" s="1">
        <v>0</v>
      </c>
      <c r="U186" s="1">
        <f>145-145+100+449.4+12.6+23.8-373.9</f>
        <v>211.89999999999998</v>
      </c>
      <c r="V186" s="1">
        <v>145</v>
      </c>
      <c r="W186" s="1">
        <v>0</v>
      </c>
      <c r="X186" s="1">
        <v>0</v>
      </c>
      <c r="Y186" s="1">
        <v>145</v>
      </c>
      <c r="Z186" s="1">
        <v>145</v>
      </c>
      <c r="AA186" s="62">
        <f>SUM(T186:Z186)</f>
        <v>646.9</v>
      </c>
      <c r="AB186" s="61">
        <v>2024</v>
      </c>
      <c r="AC186" s="106"/>
    </row>
    <row r="187" spans="1:30" s="79" customFormat="1" ht="63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306</v>
      </c>
      <c r="S187" s="65" t="s">
        <v>52</v>
      </c>
      <c r="T187" s="44">
        <v>0</v>
      </c>
      <c r="U187" s="3">
        <v>11.9</v>
      </c>
      <c r="V187" s="3">
        <v>4</v>
      </c>
      <c r="W187" s="3">
        <v>4.2</v>
      </c>
      <c r="X187" s="3">
        <v>4.2</v>
      </c>
      <c r="Y187" s="3">
        <v>4.2</v>
      </c>
      <c r="Z187" s="3">
        <v>4.2</v>
      </c>
      <c r="AA187" s="52">
        <f>SUM(T187:Z187)</f>
        <v>32.700000000000003</v>
      </c>
      <c r="AB187" s="41">
        <v>2024</v>
      </c>
      <c r="AC187" s="106"/>
    </row>
    <row r="188" spans="1:30" s="79" customFormat="1" ht="47.25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83" t="s">
        <v>307</v>
      </c>
      <c r="S188" s="65" t="s">
        <v>38</v>
      </c>
      <c r="T188" s="44">
        <v>0</v>
      </c>
      <c r="U188" s="44">
        <v>3</v>
      </c>
      <c r="V188" s="44">
        <v>3</v>
      </c>
      <c r="W188" s="44">
        <v>1</v>
      </c>
      <c r="X188" s="44">
        <v>1</v>
      </c>
      <c r="Y188" s="44">
        <v>1</v>
      </c>
      <c r="Z188" s="44">
        <v>1</v>
      </c>
      <c r="AA188" s="52">
        <f>SUM(T188:Z188)</f>
        <v>10</v>
      </c>
      <c r="AB188" s="41">
        <v>2024</v>
      </c>
      <c r="AC188" s="106"/>
      <c r="AD188" s="84"/>
    </row>
    <row r="189" spans="1:30" s="137" customFormat="1" ht="63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81" t="s">
        <v>316</v>
      </c>
      <c r="S189" s="55" t="s">
        <v>38</v>
      </c>
      <c r="T189" s="44">
        <v>0</v>
      </c>
      <c r="U189" s="44">
        <v>3</v>
      </c>
      <c r="V189" s="44">
        <v>0</v>
      </c>
      <c r="W189" s="44">
        <v>0</v>
      </c>
      <c r="X189" s="44">
        <v>0</v>
      </c>
      <c r="Y189" s="44">
        <v>0</v>
      </c>
      <c r="Z189" s="44">
        <v>0</v>
      </c>
      <c r="AA189" s="52">
        <f>SUM(T189:Z189)</f>
        <v>3</v>
      </c>
      <c r="AB189" s="41">
        <v>2019</v>
      </c>
      <c r="AC189" s="114"/>
      <c r="AD189" s="136"/>
    </row>
    <row r="190" spans="1:30" s="79" customFormat="1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149" t="s">
        <v>139</v>
      </c>
      <c r="S190" s="58" t="s">
        <v>0</v>
      </c>
      <c r="T190" s="62">
        <f>T192+T193</f>
        <v>0</v>
      </c>
      <c r="U190" s="62">
        <f>SUM(U191:U193)</f>
        <v>10158.9</v>
      </c>
      <c r="V190" s="62">
        <f t="shared" ref="V190:Z190" si="69">SUM(V191:V193)</f>
        <v>1500</v>
      </c>
      <c r="W190" s="62">
        <f t="shared" si="69"/>
        <v>1500</v>
      </c>
      <c r="X190" s="62">
        <f t="shared" si="69"/>
        <v>1500</v>
      </c>
      <c r="Y190" s="62">
        <f t="shared" si="69"/>
        <v>1500</v>
      </c>
      <c r="Z190" s="62">
        <f t="shared" si="69"/>
        <v>1500</v>
      </c>
      <c r="AA190" s="62">
        <f t="shared" ref="AA190:AA193" si="70">SUM(T190:Z190)</f>
        <v>17658.900000000001</v>
      </c>
      <c r="AB190" s="61">
        <v>2024</v>
      </c>
      <c r="AC190" s="106"/>
    </row>
    <row r="191" spans="1:30" s="79" customFormat="1" x14ac:dyDescent="0.25">
      <c r="A191" s="57" t="s">
        <v>18</v>
      </c>
      <c r="B191" s="57" t="s">
        <v>18</v>
      </c>
      <c r="C191" s="57" t="s">
        <v>25</v>
      </c>
      <c r="D191" s="57" t="s">
        <v>18</v>
      </c>
      <c r="E191" s="57" t="s">
        <v>24</v>
      </c>
      <c r="F191" s="57" t="s">
        <v>18</v>
      </c>
      <c r="G191" s="57" t="s">
        <v>43</v>
      </c>
      <c r="H191" s="57" t="s">
        <v>19</v>
      </c>
      <c r="I191" s="57" t="s">
        <v>24</v>
      </c>
      <c r="J191" s="57" t="s">
        <v>18</v>
      </c>
      <c r="K191" s="57" t="s">
        <v>18</v>
      </c>
      <c r="L191" s="57" t="s">
        <v>20</v>
      </c>
      <c r="M191" s="57" t="s">
        <v>19</v>
      </c>
      <c r="N191" s="57" t="s">
        <v>18</v>
      </c>
      <c r="O191" s="57" t="s">
        <v>184</v>
      </c>
      <c r="P191" s="57" t="s">
        <v>21</v>
      </c>
      <c r="Q191" s="57" t="s">
        <v>25</v>
      </c>
      <c r="R191" s="149"/>
      <c r="S191" s="58" t="s">
        <v>0</v>
      </c>
      <c r="T191" s="1">
        <v>0</v>
      </c>
      <c r="U191" s="1">
        <f>9600-1604.2</f>
        <v>7995.8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62">
        <f t="shared" si="70"/>
        <v>7995.8</v>
      </c>
      <c r="AB191" s="61">
        <v>2024</v>
      </c>
      <c r="AC191" s="106"/>
    </row>
    <row r="192" spans="1:30" s="79" customFormat="1" x14ac:dyDescent="0.25">
      <c r="A192" s="57" t="s">
        <v>18</v>
      </c>
      <c r="B192" s="57" t="s">
        <v>18</v>
      </c>
      <c r="C192" s="57" t="s">
        <v>25</v>
      </c>
      <c r="D192" s="57" t="s">
        <v>18</v>
      </c>
      <c r="E192" s="57" t="s">
        <v>24</v>
      </c>
      <c r="F192" s="57" t="s">
        <v>18</v>
      </c>
      <c r="G192" s="57" t="s">
        <v>43</v>
      </c>
      <c r="H192" s="57" t="s">
        <v>19</v>
      </c>
      <c r="I192" s="57" t="s">
        <v>24</v>
      </c>
      <c r="J192" s="57" t="s">
        <v>18</v>
      </c>
      <c r="K192" s="57" t="s">
        <v>18</v>
      </c>
      <c r="L192" s="57" t="s">
        <v>20</v>
      </c>
      <c r="M192" s="57" t="s">
        <v>37</v>
      </c>
      <c r="N192" s="57" t="s">
        <v>18</v>
      </c>
      <c r="O192" s="57" t="s">
        <v>184</v>
      </c>
      <c r="P192" s="57" t="s">
        <v>21</v>
      </c>
      <c r="Q192" s="57" t="s">
        <v>25</v>
      </c>
      <c r="R192" s="149"/>
      <c r="S192" s="58" t="s">
        <v>0</v>
      </c>
      <c r="T192" s="1">
        <v>0</v>
      </c>
      <c r="U192" s="1">
        <f>2401-402-43.9</f>
        <v>1955.1</v>
      </c>
      <c r="V192" s="1">
        <v>798.8</v>
      </c>
      <c r="W192" s="1">
        <v>1500</v>
      </c>
      <c r="X192" s="1">
        <v>1500</v>
      </c>
      <c r="Y192" s="1">
        <v>1355</v>
      </c>
      <c r="Z192" s="1">
        <v>1355</v>
      </c>
      <c r="AA192" s="62">
        <f t="shared" si="70"/>
        <v>8463.9</v>
      </c>
      <c r="AB192" s="61">
        <v>2024</v>
      </c>
      <c r="AC192" s="106"/>
    </row>
    <row r="193" spans="1:31" s="79" customFormat="1" x14ac:dyDescent="0.25">
      <c r="A193" s="57" t="s">
        <v>18</v>
      </c>
      <c r="B193" s="57" t="s">
        <v>18</v>
      </c>
      <c r="C193" s="57" t="s">
        <v>25</v>
      </c>
      <c r="D193" s="57" t="s">
        <v>18</v>
      </c>
      <c r="E193" s="57" t="s">
        <v>24</v>
      </c>
      <c r="F193" s="57" t="s">
        <v>18</v>
      </c>
      <c r="G193" s="57" t="s">
        <v>43</v>
      </c>
      <c r="H193" s="57" t="s">
        <v>19</v>
      </c>
      <c r="I193" s="57" t="s">
        <v>24</v>
      </c>
      <c r="J193" s="57" t="s">
        <v>18</v>
      </c>
      <c r="K193" s="57" t="s">
        <v>18</v>
      </c>
      <c r="L193" s="57" t="s">
        <v>20</v>
      </c>
      <c r="M193" s="57" t="s">
        <v>18</v>
      </c>
      <c r="N193" s="57" t="s">
        <v>18</v>
      </c>
      <c r="O193" s="57" t="s">
        <v>18</v>
      </c>
      <c r="P193" s="57" t="s">
        <v>18</v>
      </c>
      <c r="Q193" s="57" t="s">
        <v>18</v>
      </c>
      <c r="R193" s="149"/>
      <c r="S193" s="58" t="s">
        <v>0</v>
      </c>
      <c r="T193" s="1">
        <v>0</v>
      </c>
      <c r="U193" s="1">
        <f>356.9+402-550.9</f>
        <v>208</v>
      </c>
      <c r="V193" s="1">
        <v>701.2</v>
      </c>
      <c r="W193" s="1">
        <v>0</v>
      </c>
      <c r="X193" s="1">
        <v>0</v>
      </c>
      <c r="Y193" s="1">
        <v>145</v>
      </c>
      <c r="Z193" s="1">
        <v>145</v>
      </c>
      <c r="AA193" s="62">
        <f t="shared" si="70"/>
        <v>1199.2</v>
      </c>
      <c r="AB193" s="61">
        <v>2024</v>
      </c>
      <c r="AC193" s="106"/>
    </row>
    <row r="194" spans="1:31" s="79" customFormat="1" ht="63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81" t="s">
        <v>308</v>
      </c>
      <c r="S194" s="65" t="s">
        <v>52</v>
      </c>
      <c r="T194" s="3">
        <v>0</v>
      </c>
      <c r="U194" s="3">
        <v>4.0999999999999996</v>
      </c>
      <c r="V194" s="3">
        <v>1.3</v>
      </c>
      <c r="W194" s="3">
        <v>3.1</v>
      </c>
      <c r="X194" s="3">
        <v>3.1</v>
      </c>
      <c r="Y194" s="3">
        <v>3.1</v>
      </c>
      <c r="Z194" s="3">
        <v>3.1</v>
      </c>
      <c r="AA194" s="6">
        <f>SUM(T194:Z194)</f>
        <v>17.8</v>
      </c>
      <c r="AB194" s="41">
        <v>2024</v>
      </c>
      <c r="AC194" s="106"/>
    </row>
    <row r="195" spans="1:31" s="79" customFormat="1" ht="4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83" t="s">
        <v>309</v>
      </c>
      <c r="S195" s="65" t="s">
        <v>38</v>
      </c>
      <c r="T195" s="44">
        <v>0</v>
      </c>
      <c r="U195" s="44">
        <v>5</v>
      </c>
      <c r="V195" s="44">
        <v>1</v>
      </c>
      <c r="W195" s="44">
        <v>4</v>
      </c>
      <c r="X195" s="44">
        <v>4</v>
      </c>
      <c r="Y195" s="44">
        <v>4</v>
      </c>
      <c r="Z195" s="44">
        <v>4</v>
      </c>
      <c r="AA195" s="6">
        <f t="shared" ref="AA195:AA196" si="71">SUM(T195:Z195)</f>
        <v>22</v>
      </c>
      <c r="AB195" s="41">
        <v>2024</v>
      </c>
      <c r="AC195" s="106"/>
      <c r="AD195" s="84"/>
    </row>
    <row r="196" spans="1:31" s="137" customFormat="1" ht="63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81" t="s">
        <v>317</v>
      </c>
      <c r="S196" s="55" t="s">
        <v>38</v>
      </c>
      <c r="T196" s="44">
        <v>0</v>
      </c>
      <c r="U196" s="44">
        <v>5</v>
      </c>
      <c r="V196" s="44">
        <v>0</v>
      </c>
      <c r="W196" s="44">
        <v>0</v>
      </c>
      <c r="X196" s="44">
        <v>0</v>
      </c>
      <c r="Y196" s="44">
        <v>0</v>
      </c>
      <c r="Z196" s="44">
        <v>0</v>
      </c>
      <c r="AA196" s="52">
        <f t="shared" si="71"/>
        <v>5</v>
      </c>
      <c r="AB196" s="41">
        <v>2019</v>
      </c>
      <c r="AC196" s="114"/>
      <c r="AD196" s="136"/>
    </row>
    <row r="197" spans="1:31" s="79" customFormat="1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149" t="s">
        <v>139</v>
      </c>
      <c r="S197" s="58" t="s">
        <v>0</v>
      </c>
      <c r="T197" s="62">
        <f t="shared" ref="T197:Y197" si="72">SUM(T198:T200)</f>
        <v>123487.5</v>
      </c>
      <c r="U197" s="62">
        <f t="shared" si="72"/>
        <v>579.5</v>
      </c>
      <c r="V197" s="62">
        <f t="shared" si="72"/>
        <v>0</v>
      </c>
      <c r="W197" s="62">
        <f t="shared" si="72"/>
        <v>0</v>
      </c>
      <c r="X197" s="62">
        <f t="shared" si="72"/>
        <v>0</v>
      </c>
      <c r="Y197" s="62">
        <f t="shared" si="72"/>
        <v>0</v>
      </c>
      <c r="Z197" s="62">
        <f t="shared" ref="Z197" si="73">SUM(Z198:Z200)</f>
        <v>0</v>
      </c>
      <c r="AA197" s="62">
        <f t="shared" ref="AA197:AA202" si="74">SUM(T197:Z197)</f>
        <v>124067</v>
      </c>
      <c r="AB197" s="61">
        <v>2019</v>
      </c>
      <c r="AC197" s="124"/>
    </row>
    <row r="198" spans="1:31" s="79" customFormat="1" x14ac:dyDescent="0.25">
      <c r="A198" s="57" t="s">
        <v>18</v>
      </c>
      <c r="B198" s="57" t="s">
        <v>19</v>
      </c>
      <c r="C198" s="57" t="s">
        <v>20</v>
      </c>
      <c r="D198" s="57" t="s">
        <v>18</v>
      </c>
      <c r="E198" s="57" t="s">
        <v>24</v>
      </c>
      <c r="F198" s="57" t="s">
        <v>18</v>
      </c>
      <c r="G198" s="57" t="s">
        <v>43</v>
      </c>
      <c r="H198" s="57" t="s">
        <v>19</v>
      </c>
      <c r="I198" s="57" t="s">
        <v>24</v>
      </c>
      <c r="J198" s="57" t="s">
        <v>18</v>
      </c>
      <c r="K198" s="57" t="s">
        <v>18</v>
      </c>
      <c r="L198" s="57" t="s">
        <v>20</v>
      </c>
      <c r="M198" s="57" t="s">
        <v>19</v>
      </c>
      <c r="N198" s="57" t="s">
        <v>18</v>
      </c>
      <c r="O198" s="57" t="s">
        <v>184</v>
      </c>
      <c r="P198" s="57" t="s">
        <v>21</v>
      </c>
      <c r="Q198" s="57" t="s">
        <v>25</v>
      </c>
      <c r="R198" s="149"/>
      <c r="S198" s="58" t="s">
        <v>0</v>
      </c>
      <c r="T198" s="1">
        <v>78128.899999999994</v>
      </c>
      <c r="U198" s="1">
        <f>57600.3-57600.3</f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62">
        <f t="shared" si="74"/>
        <v>78128.899999999994</v>
      </c>
      <c r="AB198" s="61">
        <v>2018</v>
      </c>
      <c r="AC198" s="33"/>
    </row>
    <row r="199" spans="1:31" s="79" customFormat="1" x14ac:dyDescent="0.25">
      <c r="A199" s="57" t="s">
        <v>18</v>
      </c>
      <c r="B199" s="57" t="s">
        <v>19</v>
      </c>
      <c r="C199" s="57" t="s">
        <v>20</v>
      </c>
      <c r="D199" s="57" t="s">
        <v>18</v>
      </c>
      <c r="E199" s="57" t="s">
        <v>24</v>
      </c>
      <c r="F199" s="57" t="s">
        <v>18</v>
      </c>
      <c r="G199" s="57" t="s">
        <v>43</v>
      </c>
      <c r="H199" s="57" t="s">
        <v>19</v>
      </c>
      <c r="I199" s="57" t="s">
        <v>24</v>
      </c>
      <c r="J199" s="57" t="s">
        <v>18</v>
      </c>
      <c r="K199" s="57" t="s">
        <v>18</v>
      </c>
      <c r="L199" s="57" t="s">
        <v>20</v>
      </c>
      <c r="M199" s="57" t="s">
        <v>37</v>
      </c>
      <c r="N199" s="57" t="s">
        <v>18</v>
      </c>
      <c r="O199" s="57" t="s">
        <v>184</v>
      </c>
      <c r="P199" s="57" t="s">
        <v>21</v>
      </c>
      <c r="Q199" s="57" t="s">
        <v>25</v>
      </c>
      <c r="R199" s="149"/>
      <c r="S199" s="58" t="s">
        <v>0</v>
      </c>
      <c r="T199" s="1">
        <f>18932.6+19997.4+4074.8+2495.5-26-605.7-796.8</f>
        <v>44071.8</v>
      </c>
      <c r="U199" s="1">
        <f>0+14400.7-14400.7</f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62">
        <f t="shared" si="74"/>
        <v>44071.8</v>
      </c>
      <c r="AB199" s="61">
        <v>2018</v>
      </c>
      <c r="AC199" s="33"/>
    </row>
    <row r="200" spans="1:31" s="79" customFormat="1" x14ac:dyDescent="0.25">
      <c r="A200" s="57" t="s">
        <v>18</v>
      </c>
      <c r="B200" s="57" t="s">
        <v>19</v>
      </c>
      <c r="C200" s="57" t="s">
        <v>20</v>
      </c>
      <c r="D200" s="57" t="s">
        <v>18</v>
      </c>
      <c r="E200" s="57" t="s">
        <v>24</v>
      </c>
      <c r="F200" s="57" t="s">
        <v>18</v>
      </c>
      <c r="G200" s="57" t="s">
        <v>43</v>
      </c>
      <c r="H200" s="57" t="s">
        <v>19</v>
      </c>
      <c r="I200" s="57" t="s">
        <v>24</v>
      </c>
      <c r="J200" s="57" t="s">
        <v>18</v>
      </c>
      <c r="K200" s="57" t="s">
        <v>18</v>
      </c>
      <c r="L200" s="57" t="s">
        <v>20</v>
      </c>
      <c r="M200" s="57" t="s">
        <v>18</v>
      </c>
      <c r="N200" s="57" t="s">
        <v>18</v>
      </c>
      <c r="O200" s="57" t="s">
        <v>18</v>
      </c>
      <c r="P200" s="57" t="s">
        <v>18</v>
      </c>
      <c r="Q200" s="57" t="s">
        <v>18</v>
      </c>
      <c r="R200" s="149"/>
      <c r="S200" s="58" t="s">
        <v>0</v>
      </c>
      <c r="T200" s="1">
        <f>2076.9+439-203.1-904.8-121.2</f>
        <v>1286.8000000000002</v>
      </c>
      <c r="U200" s="1">
        <v>579.5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62">
        <f t="shared" si="74"/>
        <v>1866.3000000000002</v>
      </c>
      <c r="AB200" s="61">
        <v>2019</v>
      </c>
      <c r="AC200" s="33"/>
    </row>
    <row r="201" spans="1:31" s="137" customFormat="1" ht="60.6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81" t="s">
        <v>310</v>
      </c>
      <c r="S201" s="55" t="s">
        <v>52</v>
      </c>
      <c r="T201" s="3">
        <v>58.6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6">
        <f t="shared" si="74"/>
        <v>58.6</v>
      </c>
      <c r="AB201" s="41">
        <v>2018</v>
      </c>
      <c r="AC201" s="114"/>
    </row>
    <row r="202" spans="1:31" s="137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81" t="s">
        <v>311</v>
      </c>
      <c r="S202" s="55" t="s">
        <v>38</v>
      </c>
      <c r="T202" s="44">
        <v>28</v>
      </c>
      <c r="U202" s="44">
        <v>0</v>
      </c>
      <c r="V202" s="44">
        <v>0</v>
      </c>
      <c r="W202" s="44">
        <v>0</v>
      </c>
      <c r="X202" s="44">
        <v>0</v>
      </c>
      <c r="Y202" s="44">
        <v>0</v>
      </c>
      <c r="Z202" s="44">
        <v>0</v>
      </c>
      <c r="AA202" s="52">
        <f t="shared" si="74"/>
        <v>28</v>
      </c>
      <c r="AB202" s="41">
        <v>2018</v>
      </c>
      <c r="AC202" s="114"/>
      <c r="AD202" s="136"/>
    </row>
    <row r="203" spans="1:31" s="79" customFormat="1" ht="31.5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80" t="s">
        <v>190</v>
      </c>
      <c r="S203" s="58" t="s">
        <v>49</v>
      </c>
      <c r="T203" s="59">
        <v>1</v>
      </c>
      <c r="U203" s="59">
        <v>1</v>
      </c>
      <c r="V203" s="59">
        <v>1</v>
      </c>
      <c r="W203" s="59">
        <v>1</v>
      </c>
      <c r="X203" s="59">
        <v>1</v>
      </c>
      <c r="Y203" s="59">
        <v>1</v>
      </c>
      <c r="Z203" s="59">
        <v>1</v>
      </c>
      <c r="AA203" s="60">
        <v>1</v>
      </c>
      <c r="AB203" s="61">
        <v>2024</v>
      </c>
      <c r="AC203" s="33"/>
    </row>
    <row r="204" spans="1:31" ht="31.5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81" t="s">
        <v>140</v>
      </c>
      <c r="S204" s="41" t="s">
        <v>50</v>
      </c>
      <c r="T204" s="44">
        <f>25+19+31+16</f>
        <v>91</v>
      </c>
      <c r="U204" s="44">
        <f>6+15+31+5</f>
        <v>57</v>
      </c>
      <c r="V204" s="44">
        <v>170</v>
      </c>
      <c r="W204" s="44">
        <v>170</v>
      </c>
      <c r="X204" s="44">
        <v>170</v>
      </c>
      <c r="Y204" s="44">
        <v>170</v>
      </c>
      <c r="Z204" s="44">
        <v>170</v>
      </c>
      <c r="AA204" s="52">
        <f>SUM(T204:Z204)</f>
        <v>998</v>
      </c>
      <c r="AB204" s="41">
        <v>2024</v>
      </c>
      <c r="AC204" s="132"/>
      <c r="AD204" s="104"/>
      <c r="AE204" s="104"/>
    </row>
    <row r="205" spans="1:31" ht="31.5" x14ac:dyDescent="0.25">
      <c r="A205" s="57"/>
      <c r="B205" s="57"/>
      <c r="C205" s="57"/>
      <c r="D205" s="57"/>
      <c r="E205" s="57"/>
      <c r="F205" s="57"/>
      <c r="G205" s="57"/>
      <c r="H205" s="57" t="s">
        <v>19</v>
      </c>
      <c r="I205" s="57" t="s">
        <v>24</v>
      </c>
      <c r="J205" s="57" t="s">
        <v>18</v>
      </c>
      <c r="K205" s="57" t="s">
        <v>18</v>
      </c>
      <c r="L205" s="57" t="s">
        <v>20</v>
      </c>
      <c r="M205" s="57" t="s">
        <v>18</v>
      </c>
      <c r="N205" s="57" t="s">
        <v>18</v>
      </c>
      <c r="O205" s="57" t="s">
        <v>18</v>
      </c>
      <c r="P205" s="57" t="s">
        <v>18</v>
      </c>
      <c r="Q205" s="57" t="s">
        <v>18</v>
      </c>
      <c r="R205" s="80" t="s">
        <v>141</v>
      </c>
      <c r="S205" s="61" t="s">
        <v>0</v>
      </c>
      <c r="T205" s="62">
        <f>T208+T252+T383+T292+T457</f>
        <v>22266.715</v>
      </c>
      <c r="U205" s="62">
        <f>U208+U252+U383+U292+U457</f>
        <v>22466.400000000001</v>
      </c>
      <c r="V205" s="62">
        <v>8228.2999999999993</v>
      </c>
      <c r="W205" s="62">
        <v>8228.2999999999993</v>
      </c>
      <c r="X205" s="62">
        <v>8228.2999999999993</v>
      </c>
      <c r="Y205" s="62">
        <v>8228.2999999999993</v>
      </c>
      <c r="Z205" s="62">
        <v>8228.2999999999993</v>
      </c>
      <c r="AA205" s="62">
        <f>SUM(T205:Z205)</f>
        <v>85874.61500000002</v>
      </c>
      <c r="AB205" s="61">
        <v>2024</v>
      </c>
      <c r="AC205" s="37"/>
      <c r="AD205" s="104"/>
      <c r="AE205" s="104"/>
    </row>
    <row r="206" spans="1:31" ht="31.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3" t="s">
        <v>194</v>
      </c>
      <c r="S206" s="65" t="s">
        <v>52</v>
      </c>
      <c r="T206" s="3">
        <f>T259+T300+T389</f>
        <v>4.4000000000000004</v>
      </c>
      <c r="U206" s="3">
        <f>U259+U300+U389+U215</f>
        <v>4</v>
      </c>
      <c r="V206" s="3">
        <f>V458</f>
        <v>7</v>
      </c>
      <c r="W206" s="3">
        <f>W458</f>
        <v>7</v>
      </c>
      <c r="X206" s="3">
        <f>X458</f>
        <v>7</v>
      </c>
      <c r="Y206" s="3">
        <f>Y458</f>
        <v>7</v>
      </c>
      <c r="Z206" s="3">
        <f>Z458</f>
        <v>7</v>
      </c>
      <c r="AA206" s="6">
        <f>SUM(T206:Z206)</f>
        <v>43.4</v>
      </c>
      <c r="AB206" s="41">
        <v>2024</v>
      </c>
      <c r="AC206" s="9"/>
      <c r="AD206" s="104"/>
      <c r="AE206" s="104"/>
    </row>
    <row r="207" spans="1:31" ht="31.5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64" t="s">
        <v>191</v>
      </c>
      <c r="S207" s="41" t="s">
        <v>50</v>
      </c>
      <c r="T207" s="44">
        <f>T216+T260+T301+T391</f>
        <v>30</v>
      </c>
      <c r="U207" s="44">
        <f>U216+U260+U301+U391</f>
        <v>22</v>
      </c>
      <c r="V207" s="44">
        <v>7</v>
      </c>
      <c r="W207" s="44">
        <v>7</v>
      </c>
      <c r="X207" s="44">
        <v>7</v>
      </c>
      <c r="Y207" s="44">
        <v>7</v>
      </c>
      <c r="Z207" s="44">
        <v>7</v>
      </c>
      <c r="AA207" s="52">
        <f>SUM(T207:Z207)</f>
        <v>87</v>
      </c>
      <c r="AB207" s="41">
        <v>2024</v>
      </c>
      <c r="AC207" s="9"/>
      <c r="AD207" s="104"/>
      <c r="AE207" s="104"/>
    </row>
    <row r="208" spans="1:31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149" t="s">
        <v>141</v>
      </c>
      <c r="S208" s="66" t="s">
        <v>0</v>
      </c>
      <c r="T208" s="62">
        <f t="shared" ref="T208:Z208" si="75">SUM(T209:T213)</f>
        <v>2922.6</v>
      </c>
      <c r="U208" s="62">
        <f t="shared" si="75"/>
        <v>6574.9</v>
      </c>
      <c r="V208" s="62">
        <f t="shared" si="75"/>
        <v>0</v>
      </c>
      <c r="W208" s="62">
        <f t="shared" si="75"/>
        <v>0</v>
      </c>
      <c r="X208" s="62">
        <f t="shared" si="75"/>
        <v>0</v>
      </c>
      <c r="Y208" s="62">
        <f t="shared" si="75"/>
        <v>0</v>
      </c>
      <c r="Z208" s="62">
        <f t="shared" si="75"/>
        <v>0</v>
      </c>
      <c r="AA208" s="62">
        <f>SUM(T208:Y208)</f>
        <v>9497.5</v>
      </c>
      <c r="AB208" s="61">
        <v>2019</v>
      </c>
      <c r="AC208" s="128"/>
      <c r="AD208" s="104"/>
      <c r="AE208" s="104"/>
    </row>
    <row r="209" spans="1:31" x14ac:dyDescent="0.25">
      <c r="A209" s="57" t="s">
        <v>18</v>
      </c>
      <c r="B209" s="57" t="s">
        <v>18</v>
      </c>
      <c r="C209" s="57" t="s">
        <v>22</v>
      </c>
      <c r="D209" s="57" t="s">
        <v>18</v>
      </c>
      <c r="E209" s="57" t="s">
        <v>18</v>
      </c>
      <c r="F209" s="57" t="s">
        <v>18</v>
      </c>
      <c r="G209" s="57" t="s">
        <v>18</v>
      </c>
      <c r="H209" s="57" t="s">
        <v>19</v>
      </c>
      <c r="I209" s="57" t="s">
        <v>24</v>
      </c>
      <c r="J209" s="57" t="s">
        <v>18</v>
      </c>
      <c r="K209" s="57" t="s">
        <v>18</v>
      </c>
      <c r="L209" s="57" t="s">
        <v>20</v>
      </c>
      <c r="M209" s="57" t="s">
        <v>19</v>
      </c>
      <c r="N209" s="57" t="s">
        <v>18</v>
      </c>
      <c r="O209" s="57" t="s">
        <v>24</v>
      </c>
      <c r="P209" s="57" t="s">
        <v>22</v>
      </c>
      <c r="Q209" s="57" t="s">
        <v>45</v>
      </c>
      <c r="R209" s="149"/>
      <c r="S209" s="66" t="s">
        <v>0</v>
      </c>
      <c r="T209" s="1">
        <f>T218+T223+T228+T234+T240+T247</f>
        <v>1229.5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62">
        <f t="shared" ref="AA209:AA216" si="76">SUM(T209:Y209)</f>
        <v>1229.5</v>
      </c>
      <c r="AB209" s="61">
        <v>2018</v>
      </c>
      <c r="AC209" s="128"/>
      <c r="AD209" s="104"/>
      <c r="AE209" s="104"/>
    </row>
    <row r="210" spans="1:31" x14ac:dyDescent="0.25">
      <c r="A210" s="57" t="s">
        <v>18</v>
      </c>
      <c r="B210" s="57" t="s">
        <v>18</v>
      </c>
      <c r="C210" s="57" t="s">
        <v>22</v>
      </c>
      <c r="D210" s="57" t="s">
        <v>18</v>
      </c>
      <c r="E210" s="57" t="s">
        <v>18</v>
      </c>
      <c r="F210" s="57" t="s">
        <v>18</v>
      </c>
      <c r="G210" s="57" t="s">
        <v>18</v>
      </c>
      <c r="H210" s="57" t="s">
        <v>19</v>
      </c>
      <c r="I210" s="57" t="s">
        <v>24</v>
      </c>
      <c r="J210" s="57" t="s">
        <v>18</v>
      </c>
      <c r="K210" s="57" t="s">
        <v>18</v>
      </c>
      <c r="L210" s="57" t="s">
        <v>20</v>
      </c>
      <c r="M210" s="57" t="s">
        <v>37</v>
      </c>
      <c r="N210" s="57" t="s">
        <v>18</v>
      </c>
      <c r="O210" s="57" t="s">
        <v>24</v>
      </c>
      <c r="P210" s="57" t="s">
        <v>22</v>
      </c>
      <c r="Q210" s="57" t="s">
        <v>39</v>
      </c>
      <c r="R210" s="149"/>
      <c r="S210" s="66" t="s">
        <v>0</v>
      </c>
      <c r="T210" s="1">
        <v>1046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62">
        <f t="shared" ref="AA210" si="77">SUM(T210:Y210)</f>
        <v>1046</v>
      </c>
      <c r="AB210" s="61">
        <v>2018</v>
      </c>
      <c r="AC210" s="128"/>
      <c r="AD210" s="104"/>
      <c r="AE210" s="104"/>
    </row>
    <row r="211" spans="1:31" x14ac:dyDescent="0.25">
      <c r="A211" s="57" t="s">
        <v>18</v>
      </c>
      <c r="B211" s="57" t="s">
        <v>18</v>
      </c>
      <c r="C211" s="57" t="s">
        <v>22</v>
      </c>
      <c r="D211" s="57" t="s">
        <v>18</v>
      </c>
      <c r="E211" s="57" t="s">
        <v>18</v>
      </c>
      <c r="F211" s="57" t="s">
        <v>18</v>
      </c>
      <c r="G211" s="57" t="s">
        <v>18</v>
      </c>
      <c r="H211" s="57" t="s">
        <v>19</v>
      </c>
      <c r="I211" s="57" t="s">
        <v>24</v>
      </c>
      <c r="J211" s="57" t="s">
        <v>18</v>
      </c>
      <c r="K211" s="57" t="s">
        <v>18</v>
      </c>
      <c r="L211" s="57" t="s">
        <v>20</v>
      </c>
      <c r="M211" s="57" t="s">
        <v>37</v>
      </c>
      <c r="N211" s="57" t="s">
        <v>18</v>
      </c>
      <c r="O211" s="57" t="s">
        <v>24</v>
      </c>
      <c r="P211" s="57" t="s">
        <v>22</v>
      </c>
      <c r="Q211" s="57" t="s">
        <v>46</v>
      </c>
      <c r="R211" s="149"/>
      <c r="S211" s="66" t="s">
        <v>0</v>
      </c>
      <c r="T211" s="1">
        <f>T219+T224+T229+T230+T235+T236+T241+T242+T248+T249</f>
        <v>647.1</v>
      </c>
      <c r="U211" s="1">
        <v>1329.9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62">
        <f t="shared" si="76"/>
        <v>1977</v>
      </c>
      <c r="AB211" s="61">
        <v>2019</v>
      </c>
      <c r="AC211" s="128"/>
      <c r="AD211" s="104"/>
      <c r="AE211" s="104"/>
    </row>
    <row r="212" spans="1:31" x14ac:dyDescent="0.25">
      <c r="A212" s="57" t="s">
        <v>18</v>
      </c>
      <c r="B212" s="57" t="s">
        <v>18</v>
      </c>
      <c r="C212" s="57" t="s">
        <v>22</v>
      </c>
      <c r="D212" s="57" t="s">
        <v>18</v>
      </c>
      <c r="E212" s="57" t="s">
        <v>18</v>
      </c>
      <c r="F212" s="57" t="s">
        <v>18</v>
      </c>
      <c r="G212" s="57" t="s">
        <v>18</v>
      </c>
      <c r="H212" s="57" t="s">
        <v>19</v>
      </c>
      <c r="I212" s="57" t="s">
        <v>24</v>
      </c>
      <c r="J212" s="57" t="s">
        <v>18</v>
      </c>
      <c r="K212" s="57" t="s">
        <v>18</v>
      </c>
      <c r="L212" s="57" t="s">
        <v>20</v>
      </c>
      <c r="M212" s="57" t="s">
        <v>19</v>
      </c>
      <c r="N212" s="57" t="s">
        <v>18</v>
      </c>
      <c r="O212" s="57" t="s">
        <v>24</v>
      </c>
      <c r="P212" s="57" t="s">
        <v>22</v>
      </c>
      <c r="Q212" s="57" t="s">
        <v>18</v>
      </c>
      <c r="R212" s="149"/>
      <c r="S212" s="66" t="s">
        <v>0</v>
      </c>
      <c r="T212" s="1">
        <v>0</v>
      </c>
      <c r="U212" s="1">
        <f>2901-2.9</f>
        <v>2898.1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62">
        <f t="shared" si="76"/>
        <v>2898.1</v>
      </c>
      <c r="AB212" s="61">
        <v>2019</v>
      </c>
      <c r="AC212" s="128"/>
      <c r="AD212" s="104"/>
      <c r="AE212" s="104"/>
    </row>
    <row r="213" spans="1:31" x14ac:dyDescent="0.25">
      <c r="A213" s="57" t="s">
        <v>18</v>
      </c>
      <c r="B213" s="57" t="s">
        <v>18</v>
      </c>
      <c r="C213" s="57" t="s">
        <v>22</v>
      </c>
      <c r="D213" s="57" t="s">
        <v>18</v>
      </c>
      <c r="E213" s="57" t="s">
        <v>18</v>
      </c>
      <c r="F213" s="57" t="s">
        <v>18</v>
      </c>
      <c r="G213" s="57" t="s">
        <v>18</v>
      </c>
      <c r="H213" s="57" t="s">
        <v>19</v>
      </c>
      <c r="I213" s="57" t="s">
        <v>24</v>
      </c>
      <c r="J213" s="57" t="s">
        <v>18</v>
      </c>
      <c r="K213" s="57" t="s">
        <v>18</v>
      </c>
      <c r="L213" s="57" t="s">
        <v>20</v>
      </c>
      <c r="M213" s="57" t="s">
        <v>37</v>
      </c>
      <c r="N213" s="57" t="s">
        <v>18</v>
      </c>
      <c r="O213" s="57" t="s">
        <v>24</v>
      </c>
      <c r="P213" s="57" t="s">
        <v>22</v>
      </c>
      <c r="Q213" s="57" t="s">
        <v>18</v>
      </c>
      <c r="R213" s="149"/>
      <c r="S213" s="66" t="s">
        <v>0</v>
      </c>
      <c r="T213" s="1">
        <v>0</v>
      </c>
      <c r="U213" s="1">
        <f>2375.1-28.2</f>
        <v>2346.9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2">
        <f t="shared" si="76"/>
        <v>2346.9</v>
      </c>
      <c r="AB213" s="61">
        <v>2019</v>
      </c>
      <c r="AC213" s="128"/>
      <c r="AD213" s="104"/>
      <c r="AE213" s="104"/>
    </row>
    <row r="214" spans="1:31" ht="47.25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81" t="s">
        <v>271</v>
      </c>
      <c r="S214" s="65" t="s">
        <v>52</v>
      </c>
      <c r="T214" s="3">
        <v>8.8000000000000007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6">
        <f t="shared" si="76"/>
        <v>8.8000000000000007</v>
      </c>
      <c r="AB214" s="41">
        <v>2018</v>
      </c>
      <c r="AC214" s="132"/>
      <c r="AD214" s="104"/>
      <c r="AE214" s="104"/>
    </row>
    <row r="215" spans="1:31" ht="47.25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83" t="s">
        <v>323</v>
      </c>
      <c r="S215" s="65" t="s">
        <v>52</v>
      </c>
      <c r="T215" s="3">
        <v>0</v>
      </c>
      <c r="U215" s="3">
        <v>1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6">
        <f t="shared" si="76"/>
        <v>1</v>
      </c>
      <c r="AB215" s="41">
        <v>2019</v>
      </c>
      <c r="AC215" s="132"/>
      <c r="AD215" s="104"/>
      <c r="AE215" s="104"/>
    </row>
    <row r="216" spans="1:31" ht="47.25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81" t="s">
        <v>324</v>
      </c>
      <c r="S216" s="87" t="s">
        <v>50</v>
      </c>
      <c r="T216" s="44">
        <v>3</v>
      </c>
      <c r="U216" s="44">
        <v>6</v>
      </c>
      <c r="V216" s="44">
        <v>0</v>
      </c>
      <c r="W216" s="44">
        <v>0</v>
      </c>
      <c r="X216" s="44">
        <v>0</v>
      </c>
      <c r="Y216" s="44">
        <v>0</v>
      </c>
      <c r="Z216" s="44">
        <v>0</v>
      </c>
      <c r="AA216" s="52">
        <f t="shared" si="76"/>
        <v>9</v>
      </c>
      <c r="AB216" s="41">
        <v>2019</v>
      </c>
      <c r="AC216" s="132"/>
      <c r="AD216" s="104"/>
      <c r="AE216" s="104"/>
    </row>
    <row r="217" spans="1:31" ht="15.6" hidden="1" customHeight="1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149" t="s">
        <v>195</v>
      </c>
      <c r="S217" s="66" t="s">
        <v>0</v>
      </c>
      <c r="T217" s="1">
        <f>SUM(T218:T220)</f>
        <v>998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2">
        <f t="shared" ref="AA217:AA314" si="78">SUM(T217:Y217)</f>
        <v>998</v>
      </c>
      <c r="AB217" s="61">
        <v>2018</v>
      </c>
      <c r="AC217" s="90"/>
      <c r="AD217" s="104">
        <f>T218+T223+T228+T234+T240+T247+T262+T268+T273+T278+T283+T288+T303+T309+T316+T323+T330+T337+T344+T351+T358+T365+T371+T377+T393+T399+T405+T411+T417+T423+T428+T434+T440+T446+T452</f>
        <v>9265.1149999999998</v>
      </c>
      <c r="AE217" s="104"/>
    </row>
    <row r="218" spans="1:31" ht="15.6" hidden="1" customHeight="1" x14ac:dyDescent="0.25">
      <c r="A218" s="57" t="s">
        <v>18</v>
      </c>
      <c r="B218" s="57" t="s">
        <v>18</v>
      </c>
      <c r="C218" s="57" t="s">
        <v>22</v>
      </c>
      <c r="D218" s="57" t="s">
        <v>18</v>
      </c>
      <c r="E218" s="57" t="s">
        <v>21</v>
      </c>
      <c r="F218" s="57" t="s">
        <v>18</v>
      </c>
      <c r="G218" s="57" t="s">
        <v>22</v>
      </c>
      <c r="H218" s="57" t="s">
        <v>19</v>
      </c>
      <c r="I218" s="57" t="s">
        <v>24</v>
      </c>
      <c r="J218" s="57" t="s">
        <v>18</v>
      </c>
      <c r="K218" s="57" t="s">
        <v>18</v>
      </c>
      <c r="L218" s="57" t="s">
        <v>20</v>
      </c>
      <c r="M218" s="57" t="s">
        <v>19</v>
      </c>
      <c r="N218" s="57" t="s">
        <v>18</v>
      </c>
      <c r="O218" s="57" t="s">
        <v>24</v>
      </c>
      <c r="P218" s="57" t="s">
        <v>22</v>
      </c>
      <c r="Q218" s="57" t="s">
        <v>45</v>
      </c>
      <c r="R218" s="149"/>
      <c r="S218" s="66" t="s">
        <v>0</v>
      </c>
      <c r="T218" s="1">
        <v>399.2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62">
        <f t="shared" si="78"/>
        <v>399.2</v>
      </c>
      <c r="AB218" s="61">
        <v>2018</v>
      </c>
      <c r="AC218" s="9"/>
      <c r="AD218" s="104">
        <f>T219+T224+T229+T230+T235+T236+T241+T242+T248+T249+T264+T269+T274+T279+T284+T289+T305+T304+T312+T311+T319+T318+T326+T325+T333+T332+T340+T339+T347+T346+T353+T354+T360+T367+T373+T379+T380+T394+T395+T400+T401+T406+T407+T412+T413+T418+T419+T424+T429+T430+T435+T436+T441+T442+T447+T448+T453+T454+T361</f>
        <v>4643.8</v>
      </c>
      <c r="AE218" s="104"/>
    </row>
    <row r="219" spans="1:31" ht="15.6" hidden="1" customHeight="1" x14ac:dyDescent="0.25">
      <c r="A219" s="57" t="s">
        <v>18</v>
      </c>
      <c r="B219" s="57" t="s">
        <v>18</v>
      </c>
      <c r="C219" s="57" t="s">
        <v>22</v>
      </c>
      <c r="D219" s="57" t="s">
        <v>18</v>
      </c>
      <c r="E219" s="57" t="s">
        <v>21</v>
      </c>
      <c r="F219" s="57" t="s">
        <v>18</v>
      </c>
      <c r="G219" s="57" t="s">
        <v>22</v>
      </c>
      <c r="H219" s="57" t="s">
        <v>19</v>
      </c>
      <c r="I219" s="57" t="s">
        <v>24</v>
      </c>
      <c r="J219" s="57" t="s">
        <v>18</v>
      </c>
      <c r="K219" s="57" t="s">
        <v>18</v>
      </c>
      <c r="L219" s="57" t="s">
        <v>20</v>
      </c>
      <c r="M219" s="57" t="s">
        <v>37</v>
      </c>
      <c r="N219" s="57" t="s">
        <v>18</v>
      </c>
      <c r="O219" s="57" t="s">
        <v>24</v>
      </c>
      <c r="P219" s="57" t="s">
        <v>22</v>
      </c>
      <c r="Q219" s="57" t="s">
        <v>46</v>
      </c>
      <c r="R219" s="149"/>
      <c r="S219" s="66" t="s">
        <v>0</v>
      </c>
      <c r="T219" s="1">
        <v>199.6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62">
        <f t="shared" si="78"/>
        <v>199.6</v>
      </c>
      <c r="AB219" s="61">
        <v>2018</v>
      </c>
      <c r="AC219" s="9"/>
      <c r="AD219" s="104">
        <f>T220+T225+T231+T237+T243+T250+T265+T270+T275+T280+T285+T290+T306+T313+T320+T327+T334+T341+T348+T355+T362+T368+T374+T381+T396+T402+T408+T414+T420+T425+T431+T437+T443+T449+T455</f>
        <v>9745.0000000000018</v>
      </c>
      <c r="AE219" s="104"/>
    </row>
    <row r="220" spans="1:31" ht="15.6" hidden="1" customHeight="1" x14ac:dyDescent="0.25">
      <c r="A220" s="57" t="s">
        <v>18</v>
      </c>
      <c r="B220" s="57" t="s">
        <v>18</v>
      </c>
      <c r="C220" s="57" t="s">
        <v>22</v>
      </c>
      <c r="D220" s="57" t="s">
        <v>18</v>
      </c>
      <c r="E220" s="57" t="s">
        <v>21</v>
      </c>
      <c r="F220" s="57" t="s">
        <v>18</v>
      </c>
      <c r="G220" s="57" t="s">
        <v>22</v>
      </c>
      <c r="H220" s="57" t="s">
        <v>19</v>
      </c>
      <c r="I220" s="57" t="s">
        <v>24</v>
      </c>
      <c r="J220" s="57" t="s">
        <v>18</v>
      </c>
      <c r="K220" s="57" t="s">
        <v>18</v>
      </c>
      <c r="L220" s="57" t="s">
        <v>20</v>
      </c>
      <c r="M220" s="57" t="s">
        <v>37</v>
      </c>
      <c r="N220" s="57" t="s">
        <v>18</v>
      </c>
      <c r="O220" s="57" t="s">
        <v>24</v>
      </c>
      <c r="P220" s="57" t="s">
        <v>22</v>
      </c>
      <c r="Q220" s="57" t="s">
        <v>39</v>
      </c>
      <c r="R220" s="149"/>
      <c r="S220" s="66" t="s">
        <v>0</v>
      </c>
      <c r="T220" s="1">
        <v>399.2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62">
        <f t="shared" si="78"/>
        <v>399.2</v>
      </c>
      <c r="AB220" s="61">
        <v>2018</v>
      </c>
      <c r="AC220" s="9"/>
      <c r="AD220" s="104">
        <f>T263+T310+T317+T324+T331+T338+T345+T352+T359+T366+T372+T378</f>
        <v>380</v>
      </c>
      <c r="AE220" s="104"/>
    </row>
    <row r="221" spans="1:31" ht="31.15" hidden="1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83" t="s">
        <v>196</v>
      </c>
      <c r="S221" s="87" t="s">
        <v>182</v>
      </c>
      <c r="T221" s="3">
        <v>8750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6">
        <f t="shared" si="78"/>
        <v>8750</v>
      </c>
      <c r="AB221" s="41">
        <v>2018</v>
      </c>
      <c r="AC221" s="9"/>
      <c r="AD221" s="104">
        <f>SUM(AD217:AD220)</f>
        <v>24033.915000000001</v>
      </c>
      <c r="AE221" s="104"/>
    </row>
    <row r="222" spans="1:31" ht="15.6" hidden="1" customHeight="1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149" t="s">
        <v>197</v>
      </c>
      <c r="S222" s="66" t="s">
        <v>0</v>
      </c>
      <c r="T222" s="1">
        <f>SUM(T223:T225)</f>
        <v>150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2">
        <f t="shared" si="78"/>
        <v>150</v>
      </c>
      <c r="AB222" s="61">
        <v>2018</v>
      </c>
      <c r="AC222" s="9"/>
      <c r="AD222" s="104"/>
      <c r="AE222" s="104"/>
    </row>
    <row r="223" spans="1:31" ht="15.6" hidden="1" customHeight="1" x14ac:dyDescent="0.25">
      <c r="A223" s="57" t="s">
        <v>18</v>
      </c>
      <c r="B223" s="57" t="s">
        <v>18</v>
      </c>
      <c r="C223" s="57" t="s">
        <v>22</v>
      </c>
      <c r="D223" s="57" t="s">
        <v>18</v>
      </c>
      <c r="E223" s="57" t="s">
        <v>21</v>
      </c>
      <c r="F223" s="57" t="s">
        <v>18</v>
      </c>
      <c r="G223" s="57" t="s">
        <v>22</v>
      </c>
      <c r="H223" s="57" t="s">
        <v>19</v>
      </c>
      <c r="I223" s="57" t="s">
        <v>24</v>
      </c>
      <c r="J223" s="57" t="s">
        <v>18</v>
      </c>
      <c r="K223" s="57" t="s">
        <v>18</v>
      </c>
      <c r="L223" s="57" t="s">
        <v>20</v>
      </c>
      <c r="M223" s="57" t="s">
        <v>19</v>
      </c>
      <c r="N223" s="57" t="s">
        <v>18</v>
      </c>
      <c r="O223" s="57" t="s">
        <v>24</v>
      </c>
      <c r="P223" s="57" t="s">
        <v>22</v>
      </c>
      <c r="Q223" s="57" t="s">
        <v>45</v>
      </c>
      <c r="R223" s="149"/>
      <c r="S223" s="66" t="s">
        <v>0</v>
      </c>
      <c r="T223" s="1">
        <v>60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2">
        <f t="shared" si="78"/>
        <v>60</v>
      </c>
      <c r="AB223" s="61">
        <v>2018</v>
      </c>
      <c r="AC223" s="9"/>
      <c r="AD223" s="104"/>
      <c r="AE223" s="104"/>
    </row>
    <row r="224" spans="1:31" ht="15.6" hidden="1" customHeight="1" x14ac:dyDescent="0.25">
      <c r="A224" s="57" t="s">
        <v>18</v>
      </c>
      <c r="B224" s="57" t="s">
        <v>18</v>
      </c>
      <c r="C224" s="57" t="s">
        <v>22</v>
      </c>
      <c r="D224" s="57" t="s">
        <v>18</v>
      </c>
      <c r="E224" s="57" t="s">
        <v>21</v>
      </c>
      <c r="F224" s="57" t="s">
        <v>18</v>
      </c>
      <c r="G224" s="57" t="s">
        <v>22</v>
      </c>
      <c r="H224" s="57" t="s">
        <v>19</v>
      </c>
      <c r="I224" s="57" t="s">
        <v>24</v>
      </c>
      <c r="J224" s="57" t="s">
        <v>18</v>
      </c>
      <c r="K224" s="57" t="s">
        <v>18</v>
      </c>
      <c r="L224" s="57" t="s">
        <v>20</v>
      </c>
      <c r="M224" s="57" t="s">
        <v>37</v>
      </c>
      <c r="N224" s="57" t="s">
        <v>18</v>
      </c>
      <c r="O224" s="57" t="s">
        <v>24</v>
      </c>
      <c r="P224" s="57" t="s">
        <v>22</v>
      </c>
      <c r="Q224" s="57" t="s">
        <v>46</v>
      </c>
      <c r="R224" s="149"/>
      <c r="S224" s="66" t="s">
        <v>0</v>
      </c>
      <c r="T224" s="1">
        <v>30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2">
        <f t="shared" si="78"/>
        <v>30</v>
      </c>
      <c r="AB224" s="61">
        <v>2018</v>
      </c>
      <c r="AC224" s="9"/>
      <c r="AD224" s="104"/>
      <c r="AE224" s="104"/>
    </row>
    <row r="225" spans="1:31" ht="15.6" hidden="1" customHeight="1" x14ac:dyDescent="0.25">
      <c r="A225" s="57" t="s">
        <v>18</v>
      </c>
      <c r="B225" s="57" t="s">
        <v>18</v>
      </c>
      <c r="C225" s="57" t="s">
        <v>22</v>
      </c>
      <c r="D225" s="57" t="s">
        <v>18</v>
      </c>
      <c r="E225" s="57" t="s">
        <v>21</v>
      </c>
      <c r="F225" s="57" t="s">
        <v>18</v>
      </c>
      <c r="G225" s="57" t="s">
        <v>22</v>
      </c>
      <c r="H225" s="57" t="s">
        <v>19</v>
      </c>
      <c r="I225" s="57" t="s">
        <v>24</v>
      </c>
      <c r="J225" s="57" t="s">
        <v>18</v>
      </c>
      <c r="K225" s="57" t="s">
        <v>18</v>
      </c>
      <c r="L225" s="57" t="s">
        <v>20</v>
      </c>
      <c r="M225" s="57" t="s">
        <v>37</v>
      </c>
      <c r="N225" s="57" t="s">
        <v>18</v>
      </c>
      <c r="O225" s="57" t="s">
        <v>24</v>
      </c>
      <c r="P225" s="57" t="s">
        <v>22</v>
      </c>
      <c r="Q225" s="57" t="s">
        <v>39</v>
      </c>
      <c r="R225" s="149"/>
      <c r="S225" s="66" t="s">
        <v>0</v>
      </c>
      <c r="T225" s="1">
        <v>60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62">
        <f t="shared" si="78"/>
        <v>60</v>
      </c>
      <c r="AB225" s="61">
        <v>2018</v>
      </c>
      <c r="AC225" s="9"/>
      <c r="AD225" s="104"/>
      <c r="AE225" s="104"/>
    </row>
    <row r="226" spans="1:31" ht="46.9" hidden="1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83" t="s">
        <v>198</v>
      </c>
      <c r="S226" s="87" t="s">
        <v>50</v>
      </c>
      <c r="T226" s="44">
        <v>7</v>
      </c>
      <c r="U226" s="44">
        <v>0</v>
      </c>
      <c r="V226" s="44">
        <v>0</v>
      </c>
      <c r="W226" s="44">
        <v>0</v>
      </c>
      <c r="X226" s="44">
        <v>0</v>
      </c>
      <c r="Y226" s="44">
        <v>0</v>
      </c>
      <c r="Z226" s="44">
        <v>0</v>
      </c>
      <c r="AA226" s="52">
        <f t="shared" si="78"/>
        <v>7</v>
      </c>
      <c r="AB226" s="41">
        <v>2018</v>
      </c>
      <c r="AC226" s="9"/>
      <c r="AD226" s="104"/>
      <c r="AE226" s="104"/>
    </row>
    <row r="227" spans="1:31" ht="15.6" hidden="1" customHeight="1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149" t="s">
        <v>199</v>
      </c>
      <c r="S227" s="66" t="s">
        <v>0</v>
      </c>
      <c r="T227" s="1">
        <f>SUM(T228:T231)</f>
        <v>1031.5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2">
        <f t="shared" si="78"/>
        <v>1031.5</v>
      </c>
      <c r="AB227" s="61">
        <v>2018</v>
      </c>
      <c r="AC227" s="9"/>
      <c r="AD227" s="104"/>
      <c r="AE227" s="104"/>
    </row>
    <row r="228" spans="1:31" ht="15.6" hidden="1" customHeight="1" x14ac:dyDescent="0.25">
      <c r="A228" s="57" t="s">
        <v>18</v>
      </c>
      <c r="B228" s="57" t="s">
        <v>18</v>
      </c>
      <c r="C228" s="57" t="s">
        <v>22</v>
      </c>
      <c r="D228" s="57" t="s">
        <v>18</v>
      </c>
      <c r="E228" s="57" t="s">
        <v>21</v>
      </c>
      <c r="F228" s="57" t="s">
        <v>18</v>
      </c>
      <c r="G228" s="57" t="s">
        <v>22</v>
      </c>
      <c r="H228" s="57" t="s">
        <v>19</v>
      </c>
      <c r="I228" s="57" t="s">
        <v>24</v>
      </c>
      <c r="J228" s="57" t="s">
        <v>18</v>
      </c>
      <c r="K228" s="57" t="s">
        <v>18</v>
      </c>
      <c r="L228" s="57" t="s">
        <v>20</v>
      </c>
      <c r="M228" s="57" t="s">
        <v>19</v>
      </c>
      <c r="N228" s="57" t="s">
        <v>18</v>
      </c>
      <c r="O228" s="57" t="s">
        <v>24</v>
      </c>
      <c r="P228" s="57" t="s">
        <v>22</v>
      </c>
      <c r="Q228" s="57" t="s">
        <v>45</v>
      </c>
      <c r="R228" s="149"/>
      <c r="S228" s="66" t="s">
        <v>0</v>
      </c>
      <c r="T228" s="1">
        <v>400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2">
        <f t="shared" si="78"/>
        <v>400</v>
      </c>
      <c r="AB228" s="61">
        <v>2018</v>
      </c>
      <c r="AC228" s="9"/>
      <c r="AD228" s="104"/>
      <c r="AE228" s="104"/>
    </row>
    <row r="229" spans="1:31" ht="15.6" hidden="1" customHeight="1" x14ac:dyDescent="0.25">
      <c r="A229" s="57" t="s">
        <v>18</v>
      </c>
      <c r="B229" s="57" t="s">
        <v>18</v>
      </c>
      <c r="C229" s="57" t="s">
        <v>22</v>
      </c>
      <c r="D229" s="57" t="s">
        <v>18</v>
      </c>
      <c r="E229" s="57" t="s">
        <v>21</v>
      </c>
      <c r="F229" s="57" t="s">
        <v>18</v>
      </c>
      <c r="G229" s="57" t="s">
        <v>22</v>
      </c>
      <c r="H229" s="57" t="s">
        <v>19</v>
      </c>
      <c r="I229" s="57" t="s">
        <v>24</v>
      </c>
      <c r="J229" s="57" t="s">
        <v>18</v>
      </c>
      <c r="K229" s="57" t="s">
        <v>18</v>
      </c>
      <c r="L229" s="57" t="s">
        <v>20</v>
      </c>
      <c r="M229" s="57" t="s">
        <v>37</v>
      </c>
      <c r="N229" s="57" t="s">
        <v>18</v>
      </c>
      <c r="O229" s="57" t="s">
        <v>24</v>
      </c>
      <c r="P229" s="57" t="s">
        <v>22</v>
      </c>
      <c r="Q229" s="57" t="s">
        <v>46</v>
      </c>
      <c r="R229" s="149"/>
      <c r="S229" s="66" t="s">
        <v>0</v>
      </c>
      <c r="T229" s="1">
        <v>2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2">
        <f t="shared" si="78"/>
        <v>2</v>
      </c>
      <c r="AB229" s="61">
        <v>2018</v>
      </c>
      <c r="AC229" s="9"/>
      <c r="AD229" s="104"/>
      <c r="AE229" s="104"/>
    </row>
    <row r="230" spans="1:31" ht="15.6" hidden="1" customHeight="1" x14ac:dyDescent="0.25">
      <c r="A230" s="57" t="s">
        <v>18</v>
      </c>
      <c r="B230" s="57" t="s">
        <v>18</v>
      </c>
      <c r="C230" s="57" t="s">
        <v>22</v>
      </c>
      <c r="D230" s="57" t="s">
        <v>18</v>
      </c>
      <c r="E230" s="57" t="s">
        <v>21</v>
      </c>
      <c r="F230" s="57" t="s">
        <v>18</v>
      </c>
      <c r="G230" s="57" t="s">
        <v>22</v>
      </c>
      <c r="H230" s="57" t="s">
        <v>19</v>
      </c>
      <c r="I230" s="57" t="s">
        <v>24</v>
      </c>
      <c r="J230" s="57" t="s">
        <v>18</v>
      </c>
      <c r="K230" s="57" t="s">
        <v>18</v>
      </c>
      <c r="L230" s="57" t="s">
        <v>20</v>
      </c>
      <c r="M230" s="57" t="s">
        <v>37</v>
      </c>
      <c r="N230" s="57" t="s">
        <v>18</v>
      </c>
      <c r="O230" s="57" t="s">
        <v>24</v>
      </c>
      <c r="P230" s="57" t="s">
        <v>22</v>
      </c>
      <c r="Q230" s="57" t="s">
        <v>46</v>
      </c>
      <c r="R230" s="149"/>
      <c r="S230" s="66" t="s">
        <v>0</v>
      </c>
      <c r="T230" s="1">
        <v>229.5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62">
        <f t="shared" si="78"/>
        <v>229.5</v>
      </c>
      <c r="AB230" s="61">
        <v>2018</v>
      </c>
      <c r="AC230" s="9"/>
      <c r="AD230" s="104"/>
      <c r="AE230" s="104"/>
    </row>
    <row r="231" spans="1:31" ht="15.6" hidden="1" customHeight="1" x14ac:dyDescent="0.25">
      <c r="A231" s="57" t="s">
        <v>18</v>
      </c>
      <c r="B231" s="57" t="s">
        <v>18</v>
      </c>
      <c r="C231" s="57" t="s">
        <v>22</v>
      </c>
      <c r="D231" s="57" t="s">
        <v>18</v>
      </c>
      <c r="E231" s="57" t="s">
        <v>21</v>
      </c>
      <c r="F231" s="57" t="s">
        <v>18</v>
      </c>
      <c r="G231" s="57" t="s">
        <v>22</v>
      </c>
      <c r="H231" s="57" t="s">
        <v>19</v>
      </c>
      <c r="I231" s="57" t="s">
        <v>24</v>
      </c>
      <c r="J231" s="57" t="s">
        <v>18</v>
      </c>
      <c r="K231" s="57" t="s">
        <v>18</v>
      </c>
      <c r="L231" s="57" t="s">
        <v>20</v>
      </c>
      <c r="M231" s="57" t="s">
        <v>37</v>
      </c>
      <c r="N231" s="57" t="s">
        <v>18</v>
      </c>
      <c r="O231" s="57" t="s">
        <v>24</v>
      </c>
      <c r="P231" s="57" t="s">
        <v>22</v>
      </c>
      <c r="Q231" s="57" t="s">
        <v>39</v>
      </c>
      <c r="R231" s="149"/>
      <c r="S231" s="66" t="s">
        <v>0</v>
      </c>
      <c r="T231" s="1">
        <v>400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2">
        <f t="shared" si="78"/>
        <v>400</v>
      </c>
      <c r="AB231" s="61">
        <v>2018</v>
      </c>
      <c r="AC231" s="9"/>
      <c r="AD231" s="104"/>
      <c r="AE231" s="104"/>
    </row>
    <row r="232" spans="1:31" ht="45.6" hidden="1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83" t="s">
        <v>200</v>
      </c>
      <c r="S232" s="87" t="s">
        <v>50</v>
      </c>
      <c r="T232" s="44">
        <v>44</v>
      </c>
      <c r="U232" s="44">
        <v>0</v>
      </c>
      <c r="V232" s="44">
        <v>0</v>
      </c>
      <c r="W232" s="44">
        <v>0</v>
      </c>
      <c r="X232" s="44">
        <v>0</v>
      </c>
      <c r="Y232" s="44">
        <v>0</v>
      </c>
      <c r="Z232" s="44">
        <v>0</v>
      </c>
      <c r="AA232" s="52">
        <f t="shared" si="78"/>
        <v>44</v>
      </c>
      <c r="AB232" s="41">
        <v>2018</v>
      </c>
      <c r="AC232" s="9"/>
      <c r="AD232" s="104"/>
      <c r="AE232" s="104"/>
    </row>
    <row r="233" spans="1:31" ht="15.6" hidden="1" customHeight="1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149" t="s">
        <v>201</v>
      </c>
      <c r="S233" s="66" t="s">
        <v>0</v>
      </c>
      <c r="T233" s="1">
        <f>SUM(T234:T237)</f>
        <v>613.5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2">
        <f t="shared" si="78"/>
        <v>613.5</v>
      </c>
      <c r="AB233" s="61">
        <v>2018</v>
      </c>
      <c r="AC233" s="9"/>
      <c r="AD233" s="104"/>
      <c r="AE233" s="104"/>
    </row>
    <row r="234" spans="1:31" ht="15.6" hidden="1" customHeight="1" x14ac:dyDescent="0.25">
      <c r="A234" s="57" t="s">
        <v>18</v>
      </c>
      <c r="B234" s="57" t="s">
        <v>18</v>
      </c>
      <c r="C234" s="57" t="s">
        <v>22</v>
      </c>
      <c r="D234" s="57" t="s">
        <v>18</v>
      </c>
      <c r="E234" s="57" t="s">
        <v>21</v>
      </c>
      <c r="F234" s="57" t="s">
        <v>18</v>
      </c>
      <c r="G234" s="57" t="s">
        <v>22</v>
      </c>
      <c r="H234" s="57" t="s">
        <v>19</v>
      </c>
      <c r="I234" s="57" t="s">
        <v>24</v>
      </c>
      <c r="J234" s="57" t="s">
        <v>18</v>
      </c>
      <c r="K234" s="57" t="s">
        <v>18</v>
      </c>
      <c r="L234" s="57" t="s">
        <v>20</v>
      </c>
      <c r="M234" s="57" t="s">
        <v>19</v>
      </c>
      <c r="N234" s="57" t="s">
        <v>18</v>
      </c>
      <c r="O234" s="57" t="s">
        <v>24</v>
      </c>
      <c r="P234" s="57" t="s">
        <v>22</v>
      </c>
      <c r="Q234" s="57" t="s">
        <v>45</v>
      </c>
      <c r="R234" s="149"/>
      <c r="S234" s="66" t="s">
        <v>0</v>
      </c>
      <c r="T234" s="1">
        <v>245.4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2">
        <f t="shared" si="78"/>
        <v>245.4</v>
      </c>
      <c r="AB234" s="61">
        <v>2018</v>
      </c>
      <c r="AC234" s="9"/>
      <c r="AD234" s="104"/>
      <c r="AE234" s="104"/>
    </row>
    <row r="235" spans="1:31" ht="15.6" hidden="1" customHeight="1" x14ac:dyDescent="0.25">
      <c r="A235" s="57" t="s">
        <v>18</v>
      </c>
      <c r="B235" s="57" t="s">
        <v>18</v>
      </c>
      <c r="C235" s="57" t="s">
        <v>22</v>
      </c>
      <c r="D235" s="57" t="s">
        <v>18</v>
      </c>
      <c r="E235" s="57" t="s">
        <v>21</v>
      </c>
      <c r="F235" s="57" t="s">
        <v>18</v>
      </c>
      <c r="G235" s="57" t="s">
        <v>22</v>
      </c>
      <c r="H235" s="57" t="s">
        <v>19</v>
      </c>
      <c r="I235" s="57" t="s">
        <v>24</v>
      </c>
      <c r="J235" s="57" t="s">
        <v>18</v>
      </c>
      <c r="K235" s="57" t="s">
        <v>18</v>
      </c>
      <c r="L235" s="57" t="s">
        <v>20</v>
      </c>
      <c r="M235" s="57" t="s">
        <v>37</v>
      </c>
      <c r="N235" s="57" t="s">
        <v>18</v>
      </c>
      <c r="O235" s="57" t="s">
        <v>24</v>
      </c>
      <c r="P235" s="57" t="s">
        <v>22</v>
      </c>
      <c r="Q235" s="57" t="s">
        <v>46</v>
      </c>
      <c r="R235" s="149"/>
      <c r="S235" s="66" t="s">
        <v>0</v>
      </c>
      <c r="T235" s="1">
        <v>60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2">
        <f t="shared" si="78"/>
        <v>60</v>
      </c>
      <c r="AB235" s="61">
        <v>2018</v>
      </c>
      <c r="AC235" s="9"/>
      <c r="AD235" s="104"/>
      <c r="AE235" s="104"/>
    </row>
    <row r="236" spans="1:31" ht="15.6" hidden="1" customHeight="1" x14ac:dyDescent="0.25">
      <c r="A236" s="57" t="s">
        <v>18</v>
      </c>
      <c r="B236" s="57" t="s">
        <v>18</v>
      </c>
      <c r="C236" s="57" t="s">
        <v>22</v>
      </c>
      <c r="D236" s="57" t="s">
        <v>18</v>
      </c>
      <c r="E236" s="57" t="s">
        <v>21</v>
      </c>
      <c r="F236" s="57" t="s">
        <v>18</v>
      </c>
      <c r="G236" s="57" t="s">
        <v>22</v>
      </c>
      <c r="H236" s="57" t="s">
        <v>19</v>
      </c>
      <c r="I236" s="57" t="s">
        <v>24</v>
      </c>
      <c r="J236" s="57" t="s">
        <v>18</v>
      </c>
      <c r="K236" s="57" t="s">
        <v>18</v>
      </c>
      <c r="L236" s="57" t="s">
        <v>20</v>
      </c>
      <c r="M236" s="57" t="s">
        <v>37</v>
      </c>
      <c r="N236" s="57" t="s">
        <v>18</v>
      </c>
      <c r="O236" s="57" t="s">
        <v>24</v>
      </c>
      <c r="P236" s="57" t="s">
        <v>22</v>
      </c>
      <c r="Q236" s="57" t="s">
        <v>46</v>
      </c>
      <c r="R236" s="149"/>
      <c r="S236" s="66" t="s">
        <v>0</v>
      </c>
      <c r="T236" s="1">
        <v>62.7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62">
        <f t="shared" si="78"/>
        <v>62.7</v>
      </c>
      <c r="AB236" s="61">
        <v>2018</v>
      </c>
      <c r="AC236" s="9"/>
      <c r="AD236" s="104"/>
      <c r="AE236" s="104"/>
    </row>
    <row r="237" spans="1:31" ht="15.6" hidden="1" customHeight="1" x14ac:dyDescent="0.25">
      <c r="A237" s="57" t="s">
        <v>18</v>
      </c>
      <c r="B237" s="57" t="s">
        <v>18</v>
      </c>
      <c r="C237" s="57" t="s">
        <v>22</v>
      </c>
      <c r="D237" s="57" t="s">
        <v>18</v>
      </c>
      <c r="E237" s="57" t="s">
        <v>21</v>
      </c>
      <c r="F237" s="57" t="s">
        <v>18</v>
      </c>
      <c r="G237" s="57" t="s">
        <v>22</v>
      </c>
      <c r="H237" s="57" t="s">
        <v>19</v>
      </c>
      <c r="I237" s="57" t="s">
        <v>24</v>
      </c>
      <c r="J237" s="57" t="s">
        <v>18</v>
      </c>
      <c r="K237" s="57" t="s">
        <v>18</v>
      </c>
      <c r="L237" s="57" t="s">
        <v>20</v>
      </c>
      <c r="M237" s="57" t="s">
        <v>37</v>
      </c>
      <c r="N237" s="57" t="s">
        <v>18</v>
      </c>
      <c r="O237" s="57" t="s">
        <v>24</v>
      </c>
      <c r="P237" s="57" t="s">
        <v>22</v>
      </c>
      <c r="Q237" s="57" t="s">
        <v>39</v>
      </c>
      <c r="R237" s="149"/>
      <c r="S237" s="66" t="s">
        <v>0</v>
      </c>
      <c r="T237" s="1">
        <v>245.4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2">
        <f t="shared" si="78"/>
        <v>245.4</v>
      </c>
      <c r="AB237" s="61">
        <v>2018</v>
      </c>
      <c r="AC237" s="9"/>
      <c r="AD237" s="104"/>
      <c r="AE237" s="104"/>
    </row>
    <row r="238" spans="1:31" ht="46.9" hidden="1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83" t="s">
        <v>202</v>
      </c>
      <c r="S238" s="87" t="s">
        <v>50</v>
      </c>
      <c r="T238" s="44">
        <v>26</v>
      </c>
      <c r="U238" s="44">
        <v>0</v>
      </c>
      <c r="V238" s="44">
        <v>0</v>
      </c>
      <c r="W238" s="44">
        <v>0</v>
      </c>
      <c r="X238" s="44">
        <v>0</v>
      </c>
      <c r="Y238" s="44">
        <v>0</v>
      </c>
      <c r="Z238" s="44">
        <v>0</v>
      </c>
      <c r="AA238" s="52">
        <f t="shared" si="78"/>
        <v>26</v>
      </c>
      <c r="AB238" s="41">
        <v>2018</v>
      </c>
      <c r="AC238" s="9"/>
      <c r="AD238" s="104"/>
      <c r="AE238" s="104"/>
    </row>
    <row r="239" spans="1:31" ht="15.6" hidden="1" customHeight="1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149" t="s">
        <v>203</v>
      </c>
      <c r="S239" s="66" t="s">
        <v>0</v>
      </c>
      <c r="T239" s="1">
        <f>SUM(T240:T243)</f>
        <v>194.7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2">
        <f t="shared" si="78"/>
        <v>194.7</v>
      </c>
      <c r="AB239" s="61">
        <v>2018</v>
      </c>
      <c r="AC239" s="9"/>
      <c r="AD239" s="104"/>
      <c r="AE239" s="104"/>
    </row>
    <row r="240" spans="1:31" ht="15.6" hidden="1" customHeight="1" x14ac:dyDescent="0.25">
      <c r="A240" s="57" t="s">
        <v>18</v>
      </c>
      <c r="B240" s="57" t="s">
        <v>18</v>
      </c>
      <c r="C240" s="57" t="s">
        <v>22</v>
      </c>
      <c r="D240" s="57" t="s">
        <v>18</v>
      </c>
      <c r="E240" s="57" t="s">
        <v>21</v>
      </c>
      <c r="F240" s="57" t="s">
        <v>18</v>
      </c>
      <c r="G240" s="57" t="s">
        <v>22</v>
      </c>
      <c r="H240" s="57" t="s">
        <v>19</v>
      </c>
      <c r="I240" s="57" t="s">
        <v>24</v>
      </c>
      <c r="J240" s="57" t="s">
        <v>18</v>
      </c>
      <c r="K240" s="57" t="s">
        <v>18</v>
      </c>
      <c r="L240" s="57" t="s">
        <v>20</v>
      </c>
      <c r="M240" s="57" t="s">
        <v>19</v>
      </c>
      <c r="N240" s="57" t="s">
        <v>18</v>
      </c>
      <c r="O240" s="57" t="s">
        <v>24</v>
      </c>
      <c r="P240" s="57" t="s">
        <v>22</v>
      </c>
      <c r="Q240" s="57" t="s">
        <v>45</v>
      </c>
      <c r="R240" s="149"/>
      <c r="S240" s="66" t="s">
        <v>0</v>
      </c>
      <c r="T240" s="1">
        <v>77.3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2">
        <f t="shared" si="78"/>
        <v>77.3</v>
      </c>
      <c r="AB240" s="61">
        <v>2018</v>
      </c>
      <c r="AC240" s="9"/>
      <c r="AD240" s="104"/>
      <c r="AE240" s="104"/>
    </row>
    <row r="241" spans="1:31" ht="15.6" hidden="1" customHeight="1" x14ac:dyDescent="0.25">
      <c r="A241" s="57" t="s">
        <v>18</v>
      </c>
      <c r="B241" s="57" t="s">
        <v>18</v>
      </c>
      <c r="C241" s="57" t="s">
        <v>22</v>
      </c>
      <c r="D241" s="57" t="s">
        <v>18</v>
      </c>
      <c r="E241" s="57" t="s">
        <v>21</v>
      </c>
      <c r="F241" s="57" t="s">
        <v>18</v>
      </c>
      <c r="G241" s="57" t="s">
        <v>22</v>
      </c>
      <c r="H241" s="57" t="s">
        <v>19</v>
      </c>
      <c r="I241" s="57" t="s">
        <v>24</v>
      </c>
      <c r="J241" s="57" t="s">
        <v>18</v>
      </c>
      <c r="K241" s="57" t="s">
        <v>18</v>
      </c>
      <c r="L241" s="57" t="s">
        <v>20</v>
      </c>
      <c r="M241" s="57" t="s">
        <v>37</v>
      </c>
      <c r="N241" s="57" t="s">
        <v>18</v>
      </c>
      <c r="O241" s="57" t="s">
        <v>24</v>
      </c>
      <c r="P241" s="57" t="s">
        <v>22</v>
      </c>
      <c r="Q241" s="57" t="s">
        <v>46</v>
      </c>
      <c r="R241" s="149"/>
      <c r="S241" s="66" t="s">
        <v>0</v>
      </c>
      <c r="T241" s="1">
        <v>20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2">
        <f t="shared" si="78"/>
        <v>20</v>
      </c>
      <c r="AB241" s="61">
        <v>2018</v>
      </c>
      <c r="AC241" s="9"/>
      <c r="AD241" s="104"/>
      <c r="AE241" s="104"/>
    </row>
    <row r="242" spans="1:31" ht="15.6" hidden="1" customHeight="1" x14ac:dyDescent="0.25">
      <c r="A242" s="57" t="s">
        <v>18</v>
      </c>
      <c r="B242" s="57" t="s">
        <v>18</v>
      </c>
      <c r="C242" s="57" t="s">
        <v>22</v>
      </c>
      <c r="D242" s="57" t="s">
        <v>18</v>
      </c>
      <c r="E242" s="57" t="s">
        <v>21</v>
      </c>
      <c r="F242" s="57" t="s">
        <v>18</v>
      </c>
      <c r="G242" s="57" t="s">
        <v>22</v>
      </c>
      <c r="H242" s="57" t="s">
        <v>19</v>
      </c>
      <c r="I242" s="57" t="s">
        <v>24</v>
      </c>
      <c r="J242" s="57" t="s">
        <v>18</v>
      </c>
      <c r="K242" s="57" t="s">
        <v>18</v>
      </c>
      <c r="L242" s="57" t="s">
        <v>20</v>
      </c>
      <c r="M242" s="57" t="s">
        <v>37</v>
      </c>
      <c r="N242" s="57" t="s">
        <v>18</v>
      </c>
      <c r="O242" s="57" t="s">
        <v>24</v>
      </c>
      <c r="P242" s="57" t="s">
        <v>22</v>
      </c>
      <c r="Q242" s="57" t="s">
        <v>46</v>
      </c>
      <c r="R242" s="149"/>
      <c r="S242" s="66" t="s">
        <v>0</v>
      </c>
      <c r="T242" s="1">
        <v>19.5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62">
        <f t="shared" si="78"/>
        <v>19.5</v>
      </c>
      <c r="AB242" s="61">
        <v>2018</v>
      </c>
      <c r="AC242" s="9"/>
      <c r="AD242" s="104"/>
      <c r="AE242" s="104"/>
    </row>
    <row r="243" spans="1:31" ht="15.6" hidden="1" customHeight="1" x14ac:dyDescent="0.25">
      <c r="A243" s="57" t="s">
        <v>18</v>
      </c>
      <c r="B243" s="57" t="s">
        <v>18</v>
      </c>
      <c r="C243" s="57" t="s">
        <v>22</v>
      </c>
      <c r="D243" s="57" t="s">
        <v>18</v>
      </c>
      <c r="E243" s="57" t="s">
        <v>21</v>
      </c>
      <c r="F243" s="57" t="s">
        <v>18</v>
      </c>
      <c r="G243" s="57" t="s">
        <v>22</v>
      </c>
      <c r="H243" s="57" t="s">
        <v>19</v>
      </c>
      <c r="I243" s="57" t="s">
        <v>24</v>
      </c>
      <c r="J243" s="57" t="s">
        <v>18</v>
      </c>
      <c r="K243" s="57" t="s">
        <v>18</v>
      </c>
      <c r="L243" s="57" t="s">
        <v>20</v>
      </c>
      <c r="M243" s="57" t="s">
        <v>37</v>
      </c>
      <c r="N243" s="57" t="s">
        <v>18</v>
      </c>
      <c r="O243" s="57" t="s">
        <v>24</v>
      </c>
      <c r="P243" s="57" t="s">
        <v>22</v>
      </c>
      <c r="Q243" s="57" t="s">
        <v>39</v>
      </c>
      <c r="R243" s="149"/>
      <c r="S243" s="66" t="s">
        <v>0</v>
      </c>
      <c r="T243" s="1">
        <v>77.900000000000006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2">
        <f t="shared" si="78"/>
        <v>77.900000000000006</v>
      </c>
      <c r="AB243" s="61">
        <v>2018</v>
      </c>
      <c r="AC243" s="9"/>
      <c r="AD243" s="104"/>
      <c r="AE243" s="104"/>
    </row>
    <row r="244" spans="1:31" s="75" customFormat="1" ht="31.15" hidden="1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83" t="s">
        <v>204</v>
      </c>
      <c r="S244" s="55" t="s">
        <v>50</v>
      </c>
      <c r="T244" s="44">
        <v>1</v>
      </c>
      <c r="U244" s="44">
        <v>0</v>
      </c>
      <c r="V244" s="44">
        <v>0</v>
      </c>
      <c r="W244" s="44">
        <v>0</v>
      </c>
      <c r="X244" s="44">
        <v>0</v>
      </c>
      <c r="Y244" s="44">
        <v>0</v>
      </c>
      <c r="Z244" s="44">
        <v>0</v>
      </c>
      <c r="AA244" s="52">
        <f t="shared" si="78"/>
        <v>1</v>
      </c>
      <c r="AB244" s="41">
        <v>2018</v>
      </c>
      <c r="AC244" s="73"/>
      <c r="AD244" s="88"/>
      <c r="AE244" s="88"/>
    </row>
    <row r="245" spans="1:31" ht="31.15" hidden="1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83" t="s">
        <v>205</v>
      </c>
      <c r="S245" s="87" t="s">
        <v>183</v>
      </c>
      <c r="T245" s="3">
        <v>15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6">
        <f t="shared" si="78"/>
        <v>15</v>
      </c>
      <c r="AB245" s="41">
        <v>2018</v>
      </c>
      <c r="AC245" s="9"/>
      <c r="AD245" s="104"/>
      <c r="AE245" s="104"/>
    </row>
    <row r="246" spans="1:31" ht="15.6" hidden="1" customHeight="1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149" t="s">
        <v>206</v>
      </c>
      <c r="S246" s="66" t="s">
        <v>0</v>
      </c>
      <c r="T246" s="1">
        <f>SUM(T247:T250)</f>
        <v>119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2">
        <f t="shared" si="78"/>
        <v>119</v>
      </c>
      <c r="AB246" s="61">
        <v>2018</v>
      </c>
      <c r="AC246" s="9"/>
      <c r="AD246" s="104"/>
      <c r="AE246" s="104"/>
    </row>
    <row r="247" spans="1:31" ht="15.6" hidden="1" customHeight="1" x14ac:dyDescent="0.25">
      <c r="A247" s="57" t="s">
        <v>18</v>
      </c>
      <c r="B247" s="57" t="s">
        <v>18</v>
      </c>
      <c r="C247" s="57" t="s">
        <v>22</v>
      </c>
      <c r="D247" s="57" t="s">
        <v>18</v>
      </c>
      <c r="E247" s="57" t="s">
        <v>24</v>
      </c>
      <c r="F247" s="57" t="s">
        <v>18</v>
      </c>
      <c r="G247" s="57" t="s">
        <v>43</v>
      </c>
      <c r="H247" s="57" t="s">
        <v>19</v>
      </c>
      <c r="I247" s="57" t="s">
        <v>24</v>
      </c>
      <c r="J247" s="57" t="s">
        <v>18</v>
      </c>
      <c r="K247" s="57" t="s">
        <v>18</v>
      </c>
      <c r="L247" s="57" t="s">
        <v>20</v>
      </c>
      <c r="M247" s="57" t="s">
        <v>19</v>
      </c>
      <c r="N247" s="57" t="s">
        <v>18</v>
      </c>
      <c r="O247" s="57" t="s">
        <v>24</v>
      </c>
      <c r="P247" s="57" t="s">
        <v>22</v>
      </c>
      <c r="Q247" s="57" t="s">
        <v>45</v>
      </c>
      <c r="R247" s="149"/>
      <c r="S247" s="66" t="s">
        <v>0</v>
      </c>
      <c r="T247" s="1">
        <v>47.6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2">
        <f t="shared" si="78"/>
        <v>47.6</v>
      </c>
      <c r="AB247" s="61">
        <v>2018</v>
      </c>
      <c r="AC247" s="9"/>
      <c r="AD247" s="104"/>
      <c r="AE247" s="104"/>
    </row>
    <row r="248" spans="1:31" ht="15.6" hidden="1" customHeight="1" x14ac:dyDescent="0.25">
      <c r="A248" s="57" t="s">
        <v>18</v>
      </c>
      <c r="B248" s="57" t="s">
        <v>18</v>
      </c>
      <c r="C248" s="57" t="s">
        <v>22</v>
      </c>
      <c r="D248" s="57" t="s">
        <v>18</v>
      </c>
      <c r="E248" s="57" t="s">
        <v>24</v>
      </c>
      <c r="F248" s="57" t="s">
        <v>18</v>
      </c>
      <c r="G248" s="57" t="s">
        <v>43</v>
      </c>
      <c r="H248" s="57" t="s">
        <v>19</v>
      </c>
      <c r="I248" s="57" t="s">
        <v>24</v>
      </c>
      <c r="J248" s="57" t="s">
        <v>18</v>
      </c>
      <c r="K248" s="57" t="s">
        <v>18</v>
      </c>
      <c r="L248" s="57" t="s">
        <v>20</v>
      </c>
      <c r="M248" s="57" t="s">
        <v>37</v>
      </c>
      <c r="N248" s="57" t="s">
        <v>18</v>
      </c>
      <c r="O248" s="57" t="s">
        <v>24</v>
      </c>
      <c r="P248" s="57" t="s">
        <v>22</v>
      </c>
      <c r="Q248" s="57" t="s">
        <v>46</v>
      </c>
      <c r="R248" s="149"/>
      <c r="S248" s="66" t="s">
        <v>0</v>
      </c>
      <c r="T248" s="1">
        <v>11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62">
        <f t="shared" si="78"/>
        <v>11</v>
      </c>
      <c r="AB248" s="61">
        <v>2018</v>
      </c>
      <c r="AC248" s="9"/>
      <c r="AD248" s="104"/>
      <c r="AE248" s="104"/>
    </row>
    <row r="249" spans="1:31" ht="15.6" hidden="1" customHeight="1" x14ac:dyDescent="0.25">
      <c r="A249" s="57" t="s">
        <v>18</v>
      </c>
      <c r="B249" s="57" t="s">
        <v>18</v>
      </c>
      <c r="C249" s="57" t="s">
        <v>22</v>
      </c>
      <c r="D249" s="57" t="s">
        <v>18</v>
      </c>
      <c r="E249" s="57" t="s">
        <v>24</v>
      </c>
      <c r="F249" s="57" t="s">
        <v>18</v>
      </c>
      <c r="G249" s="57" t="s">
        <v>43</v>
      </c>
      <c r="H249" s="57" t="s">
        <v>19</v>
      </c>
      <c r="I249" s="57" t="s">
        <v>24</v>
      </c>
      <c r="J249" s="57" t="s">
        <v>18</v>
      </c>
      <c r="K249" s="57" t="s">
        <v>18</v>
      </c>
      <c r="L249" s="57" t="s">
        <v>20</v>
      </c>
      <c r="M249" s="57" t="s">
        <v>37</v>
      </c>
      <c r="N249" s="57" t="s">
        <v>18</v>
      </c>
      <c r="O249" s="57" t="s">
        <v>24</v>
      </c>
      <c r="P249" s="57" t="s">
        <v>22</v>
      </c>
      <c r="Q249" s="57" t="s">
        <v>46</v>
      </c>
      <c r="R249" s="149"/>
      <c r="S249" s="66" t="s">
        <v>0</v>
      </c>
      <c r="T249" s="1">
        <v>12.8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62">
        <f t="shared" si="78"/>
        <v>12.8</v>
      </c>
      <c r="AB249" s="61">
        <v>2018</v>
      </c>
      <c r="AC249" s="9"/>
      <c r="AD249" s="104"/>
      <c r="AE249" s="104"/>
    </row>
    <row r="250" spans="1:31" ht="15.6" hidden="1" customHeight="1" x14ac:dyDescent="0.25">
      <c r="A250" s="57" t="s">
        <v>18</v>
      </c>
      <c r="B250" s="57" t="s">
        <v>18</v>
      </c>
      <c r="C250" s="57" t="s">
        <v>22</v>
      </c>
      <c r="D250" s="57" t="s">
        <v>18</v>
      </c>
      <c r="E250" s="57" t="s">
        <v>24</v>
      </c>
      <c r="F250" s="57" t="s">
        <v>18</v>
      </c>
      <c r="G250" s="57" t="s">
        <v>43</v>
      </c>
      <c r="H250" s="57" t="s">
        <v>19</v>
      </c>
      <c r="I250" s="57" t="s">
        <v>24</v>
      </c>
      <c r="J250" s="57" t="s">
        <v>18</v>
      </c>
      <c r="K250" s="57" t="s">
        <v>18</v>
      </c>
      <c r="L250" s="57" t="s">
        <v>20</v>
      </c>
      <c r="M250" s="57" t="s">
        <v>37</v>
      </c>
      <c r="N250" s="57" t="s">
        <v>18</v>
      </c>
      <c r="O250" s="57" t="s">
        <v>24</v>
      </c>
      <c r="P250" s="57" t="s">
        <v>22</v>
      </c>
      <c r="Q250" s="57" t="s">
        <v>39</v>
      </c>
      <c r="R250" s="149"/>
      <c r="S250" s="66" t="s">
        <v>0</v>
      </c>
      <c r="T250" s="1">
        <v>47.6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2">
        <f t="shared" si="78"/>
        <v>47.6</v>
      </c>
      <c r="AB250" s="61">
        <v>2018</v>
      </c>
      <c r="AC250" s="9"/>
      <c r="AD250" s="104"/>
      <c r="AE250" s="104"/>
    </row>
    <row r="251" spans="1:31" s="75" customFormat="1" ht="46.9" hidden="1" customHeight="1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81" t="s">
        <v>207</v>
      </c>
      <c r="S251" s="92" t="s">
        <v>182</v>
      </c>
      <c r="T251" s="3">
        <v>65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2">
        <f t="shared" si="78"/>
        <v>65</v>
      </c>
      <c r="AB251" s="41">
        <v>2018</v>
      </c>
      <c r="AC251" s="73"/>
      <c r="AD251" s="88"/>
      <c r="AE251" s="88"/>
    </row>
    <row r="252" spans="1:31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149" t="s">
        <v>141</v>
      </c>
      <c r="S252" s="66" t="s">
        <v>0</v>
      </c>
      <c r="T252" s="62">
        <f>SUM(T253:T256)</f>
        <v>3440.1</v>
      </c>
      <c r="U252" s="62">
        <f>SUM(U255:U258)</f>
        <v>3636.2999999999997</v>
      </c>
      <c r="V252" s="62">
        <f t="shared" ref="V252:Z252" si="79">SUM(V253:V256)</f>
        <v>0</v>
      </c>
      <c r="W252" s="62">
        <f t="shared" si="79"/>
        <v>0</v>
      </c>
      <c r="X252" s="62">
        <f t="shared" si="79"/>
        <v>0</v>
      </c>
      <c r="Y252" s="62">
        <f t="shared" si="79"/>
        <v>0</v>
      </c>
      <c r="Z252" s="62">
        <f t="shared" si="79"/>
        <v>0</v>
      </c>
      <c r="AA252" s="62">
        <f t="shared" si="78"/>
        <v>7076.4</v>
      </c>
      <c r="AB252" s="61">
        <v>2019</v>
      </c>
      <c r="AC252" s="128"/>
      <c r="AD252" s="104"/>
      <c r="AE252" s="104"/>
    </row>
    <row r="253" spans="1:31" x14ac:dyDescent="0.25">
      <c r="A253" s="57" t="s">
        <v>18</v>
      </c>
      <c r="B253" s="57" t="s">
        <v>18</v>
      </c>
      <c r="C253" s="57" t="s">
        <v>24</v>
      </c>
      <c r="D253" s="57" t="s">
        <v>18</v>
      </c>
      <c r="E253" s="57" t="s">
        <v>18</v>
      </c>
      <c r="F253" s="57" t="s">
        <v>18</v>
      </c>
      <c r="G253" s="57" t="s">
        <v>18</v>
      </c>
      <c r="H253" s="57" t="s">
        <v>19</v>
      </c>
      <c r="I253" s="57" t="s">
        <v>24</v>
      </c>
      <c r="J253" s="57" t="s">
        <v>18</v>
      </c>
      <c r="K253" s="57" t="s">
        <v>18</v>
      </c>
      <c r="L253" s="57" t="s">
        <v>20</v>
      </c>
      <c r="M253" s="57" t="s">
        <v>19</v>
      </c>
      <c r="N253" s="57" t="s">
        <v>18</v>
      </c>
      <c r="O253" s="57" t="s">
        <v>24</v>
      </c>
      <c r="P253" s="57" t="s">
        <v>22</v>
      </c>
      <c r="Q253" s="57" t="s">
        <v>45</v>
      </c>
      <c r="R253" s="149"/>
      <c r="S253" s="66" t="s">
        <v>0</v>
      </c>
      <c r="T253" s="1">
        <f>T262+T268+T273+T278+T283+T288</f>
        <v>1609.7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2">
        <f t="shared" si="78"/>
        <v>1609.7</v>
      </c>
      <c r="AB253" s="61">
        <v>2018</v>
      </c>
      <c r="AC253" s="128"/>
      <c r="AD253" s="104"/>
      <c r="AE253" s="104"/>
    </row>
    <row r="254" spans="1:31" ht="15.6" hidden="1" customHeight="1" x14ac:dyDescent="0.25">
      <c r="A254" s="57" t="s">
        <v>18</v>
      </c>
      <c r="B254" s="57" t="s">
        <v>18</v>
      </c>
      <c r="C254" s="57" t="s">
        <v>24</v>
      </c>
      <c r="D254" s="57" t="s">
        <v>18</v>
      </c>
      <c r="E254" s="57" t="s">
        <v>18</v>
      </c>
      <c r="F254" s="57" t="s">
        <v>18</v>
      </c>
      <c r="G254" s="57" t="s">
        <v>18</v>
      </c>
      <c r="H254" s="57" t="s">
        <v>19</v>
      </c>
      <c r="I254" s="57" t="s">
        <v>24</v>
      </c>
      <c r="J254" s="57" t="s">
        <v>18</v>
      </c>
      <c r="K254" s="57" t="s">
        <v>18</v>
      </c>
      <c r="L254" s="57" t="s">
        <v>20</v>
      </c>
      <c r="M254" s="57" t="s">
        <v>37</v>
      </c>
      <c r="N254" s="57" t="s">
        <v>18</v>
      </c>
      <c r="O254" s="57" t="s">
        <v>43</v>
      </c>
      <c r="P254" s="57" t="s">
        <v>22</v>
      </c>
      <c r="Q254" s="57" t="s">
        <v>185</v>
      </c>
      <c r="R254" s="149"/>
      <c r="S254" s="66" t="s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2">
        <f t="shared" si="78"/>
        <v>0</v>
      </c>
      <c r="AB254" s="61">
        <v>2018</v>
      </c>
      <c r="AC254" s="128"/>
      <c r="AD254" s="104"/>
      <c r="AE254" s="104"/>
    </row>
    <row r="255" spans="1:31" x14ac:dyDescent="0.25">
      <c r="A255" s="57" t="s">
        <v>18</v>
      </c>
      <c r="B255" s="57" t="s">
        <v>18</v>
      </c>
      <c r="C255" s="57" t="s">
        <v>24</v>
      </c>
      <c r="D255" s="57" t="s">
        <v>18</v>
      </c>
      <c r="E255" s="57" t="s">
        <v>18</v>
      </c>
      <c r="F255" s="57" t="s">
        <v>18</v>
      </c>
      <c r="G255" s="57" t="s">
        <v>18</v>
      </c>
      <c r="H255" s="57" t="s">
        <v>19</v>
      </c>
      <c r="I255" s="57" t="s">
        <v>24</v>
      </c>
      <c r="J255" s="57" t="s">
        <v>18</v>
      </c>
      <c r="K255" s="57" t="s">
        <v>18</v>
      </c>
      <c r="L255" s="57" t="s">
        <v>20</v>
      </c>
      <c r="M255" s="57" t="s">
        <v>37</v>
      </c>
      <c r="N255" s="57" t="s">
        <v>18</v>
      </c>
      <c r="O255" s="57" t="s">
        <v>24</v>
      </c>
      <c r="P255" s="57" t="s">
        <v>22</v>
      </c>
      <c r="Q255" s="57" t="s">
        <v>46</v>
      </c>
      <c r="R255" s="149"/>
      <c r="S255" s="66" t="s">
        <v>0</v>
      </c>
      <c r="T255" s="1">
        <f>T264+T269+T274+T279+T284+T289</f>
        <v>441.79999999999995</v>
      </c>
      <c r="U255" s="1">
        <v>394.2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62">
        <f t="shared" si="78"/>
        <v>836</v>
      </c>
      <c r="AB255" s="61">
        <v>2019</v>
      </c>
      <c r="AC255" s="128"/>
      <c r="AD255" s="104"/>
      <c r="AE255" s="104"/>
    </row>
    <row r="256" spans="1:31" x14ac:dyDescent="0.25">
      <c r="A256" s="57" t="s">
        <v>18</v>
      </c>
      <c r="B256" s="57" t="s">
        <v>18</v>
      </c>
      <c r="C256" s="57" t="s">
        <v>24</v>
      </c>
      <c r="D256" s="57" t="s">
        <v>18</v>
      </c>
      <c r="E256" s="57" t="s">
        <v>18</v>
      </c>
      <c r="F256" s="57" t="s">
        <v>18</v>
      </c>
      <c r="G256" s="57" t="s">
        <v>18</v>
      </c>
      <c r="H256" s="57" t="s">
        <v>19</v>
      </c>
      <c r="I256" s="57" t="s">
        <v>24</v>
      </c>
      <c r="J256" s="57" t="s">
        <v>18</v>
      </c>
      <c r="K256" s="57" t="s">
        <v>18</v>
      </c>
      <c r="L256" s="57" t="s">
        <v>20</v>
      </c>
      <c r="M256" s="57" t="s">
        <v>37</v>
      </c>
      <c r="N256" s="57" t="s">
        <v>18</v>
      </c>
      <c r="O256" s="57" t="s">
        <v>24</v>
      </c>
      <c r="P256" s="57" t="s">
        <v>22</v>
      </c>
      <c r="Q256" s="57" t="s">
        <v>39</v>
      </c>
      <c r="R256" s="149"/>
      <c r="S256" s="66" t="s">
        <v>0</v>
      </c>
      <c r="T256" s="1">
        <v>1388.6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62">
        <f t="shared" si="78"/>
        <v>1388.6</v>
      </c>
      <c r="AB256" s="61">
        <v>2018</v>
      </c>
      <c r="AC256" s="128"/>
      <c r="AD256" s="104"/>
      <c r="AE256" s="104"/>
    </row>
    <row r="257" spans="1:31" x14ac:dyDescent="0.25">
      <c r="A257" s="57" t="s">
        <v>18</v>
      </c>
      <c r="B257" s="57" t="s">
        <v>18</v>
      </c>
      <c r="C257" s="57" t="s">
        <v>24</v>
      </c>
      <c r="D257" s="57" t="s">
        <v>18</v>
      </c>
      <c r="E257" s="57" t="s">
        <v>18</v>
      </c>
      <c r="F257" s="57" t="s">
        <v>18</v>
      </c>
      <c r="G257" s="57" t="s">
        <v>18</v>
      </c>
      <c r="H257" s="57" t="s">
        <v>19</v>
      </c>
      <c r="I257" s="57" t="s">
        <v>24</v>
      </c>
      <c r="J257" s="57" t="s">
        <v>18</v>
      </c>
      <c r="K257" s="57" t="s">
        <v>18</v>
      </c>
      <c r="L257" s="57" t="s">
        <v>20</v>
      </c>
      <c r="M257" s="57" t="s">
        <v>19</v>
      </c>
      <c r="N257" s="57" t="s">
        <v>18</v>
      </c>
      <c r="O257" s="57" t="s">
        <v>24</v>
      </c>
      <c r="P257" s="57" t="s">
        <v>22</v>
      </c>
      <c r="Q257" s="57" t="s">
        <v>18</v>
      </c>
      <c r="R257" s="149"/>
      <c r="S257" s="66" t="s">
        <v>0</v>
      </c>
      <c r="T257" s="1">
        <v>0</v>
      </c>
      <c r="U257" s="1">
        <f>1865.4-95.4</f>
        <v>1770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2">
        <f>SUM(T257:Y257)</f>
        <v>1770</v>
      </c>
      <c r="AB257" s="61">
        <v>2019</v>
      </c>
      <c r="AC257" s="128"/>
      <c r="AD257" s="104"/>
      <c r="AE257" s="104"/>
    </row>
    <row r="258" spans="1:31" x14ac:dyDescent="0.25">
      <c r="A258" s="57" t="s">
        <v>18</v>
      </c>
      <c r="B258" s="57" t="s">
        <v>18</v>
      </c>
      <c r="C258" s="57" t="s">
        <v>24</v>
      </c>
      <c r="D258" s="57" t="s">
        <v>18</v>
      </c>
      <c r="E258" s="57" t="s">
        <v>18</v>
      </c>
      <c r="F258" s="57" t="s">
        <v>18</v>
      </c>
      <c r="G258" s="57" t="s">
        <v>18</v>
      </c>
      <c r="H258" s="57" t="s">
        <v>19</v>
      </c>
      <c r="I258" s="57" t="s">
        <v>24</v>
      </c>
      <c r="J258" s="57" t="s">
        <v>18</v>
      </c>
      <c r="K258" s="57" t="s">
        <v>18</v>
      </c>
      <c r="L258" s="57" t="s">
        <v>20</v>
      </c>
      <c r="M258" s="57" t="s">
        <v>37</v>
      </c>
      <c r="N258" s="57" t="s">
        <v>18</v>
      </c>
      <c r="O258" s="57" t="s">
        <v>24</v>
      </c>
      <c r="P258" s="57" t="s">
        <v>22</v>
      </c>
      <c r="Q258" s="57" t="s">
        <v>18</v>
      </c>
      <c r="R258" s="149"/>
      <c r="S258" s="66" t="s">
        <v>0</v>
      </c>
      <c r="T258" s="1">
        <v>0</v>
      </c>
      <c r="U258" s="1">
        <v>1472.1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2">
        <f t="shared" ref="AA258" si="80">SUM(T258:Y258)</f>
        <v>1472.1</v>
      </c>
      <c r="AB258" s="61">
        <v>2019</v>
      </c>
      <c r="AC258" s="128"/>
      <c r="AD258" s="104"/>
      <c r="AE258" s="104"/>
    </row>
    <row r="259" spans="1:31" ht="47.25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83" t="s">
        <v>325</v>
      </c>
      <c r="S259" s="65" t="s">
        <v>52</v>
      </c>
      <c r="T259" s="3">
        <v>0.2</v>
      </c>
      <c r="U259" s="3">
        <v>1.2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6">
        <f t="shared" si="78"/>
        <v>1.4</v>
      </c>
      <c r="AB259" s="41">
        <v>2019</v>
      </c>
      <c r="AC259" s="132"/>
      <c r="AD259" s="104"/>
      <c r="AE259" s="104"/>
    </row>
    <row r="260" spans="1:31" ht="47.25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83" t="s">
        <v>326</v>
      </c>
      <c r="S260" s="87" t="s">
        <v>50</v>
      </c>
      <c r="T260" s="44">
        <v>6</v>
      </c>
      <c r="U260" s="44">
        <v>5</v>
      </c>
      <c r="V260" s="44">
        <v>0</v>
      </c>
      <c r="W260" s="44">
        <v>0</v>
      </c>
      <c r="X260" s="44">
        <v>0</v>
      </c>
      <c r="Y260" s="44">
        <v>0</v>
      </c>
      <c r="Z260" s="44">
        <v>0</v>
      </c>
      <c r="AA260" s="52">
        <f t="shared" si="78"/>
        <v>11</v>
      </c>
      <c r="AB260" s="41">
        <v>2019</v>
      </c>
      <c r="AC260" s="132"/>
      <c r="AD260" s="104"/>
      <c r="AE260" s="104"/>
    </row>
    <row r="261" spans="1:31" ht="16.350000000000001" hidden="1" customHeight="1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149" t="s">
        <v>208</v>
      </c>
      <c r="S261" s="66" t="s">
        <v>0</v>
      </c>
      <c r="T261" s="1">
        <f>SUM(T262:T265)</f>
        <v>943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62">
        <f t="shared" si="78"/>
        <v>943</v>
      </c>
      <c r="AB261" s="61">
        <v>2018</v>
      </c>
      <c r="AC261" s="9"/>
      <c r="AD261" s="104"/>
      <c r="AE261" s="104"/>
    </row>
    <row r="262" spans="1:31" ht="16.350000000000001" hidden="1" customHeight="1" x14ac:dyDescent="0.25">
      <c r="A262" s="57" t="s">
        <v>18</v>
      </c>
      <c r="B262" s="57" t="s">
        <v>18</v>
      </c>
      <c r="C262" s="57" t="s">
        <v>24</v>
      </c>
      <c r="D262" s="57" t="s">
        <v>18</v>
      </c>
      <c r="E262" s="57" t="s">
        <v>24</v>
      </c>
      <c r="F262" s="57" t="s">
        <v>18</v>
      </c>
      <c r="G262" s="57" t="s">
        <v>43</v>
      </c>
      <c r="H262" s="57" t="s">
        <v>19</v>
      </c>
      <c r="I262" s="57" t="s">
        <v>24</v>
      </c>
      <c r="J262" s="57" t="s">
        <v>18</v>
      </c>
      <c r="K262" s="57" t="s">
        <v>18</v>
      </c>
      <c r="L262" s="57" t="s">
        <v>20</v>
      </c>
      <c r="M262" s="57" t="s">
        <v>19</v>
      </c>
      <c r="N262" s="57" t="s">
        <v>18</v>
      </c>
      <c r="O262" s="57" t="s">
        <v>24</v>
      </c>
      <c r="P262" s="57" t="s">
        <v>22</v>
      </c>
      <c r="Q262" s="57" t="s">
        <v>45</v>
      </c>
      <c r="R262" s="149"/>
      <c r="S262" s="66" t="s">
        <v>0</v>
      </c>
      <c r="T262" s="1">
        <v>377.2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62">
        <f t="shared" si="78"/>
        <v>377.2</v>
      </c>
      <c r="AB262" s="61">
        <v>2018</v>
      </c>
      <c r="AC262" s="9"/>
      <c r="AD262" s="104"/>
      <c r="AE262" s="104"/>
    </row>
    <row r="263" spans="1:31" ht="16.350000000000001" hidden="1" customHeight="1" x14ac:dyDescent="0.25">
      <c r="A263" s="57" t="s">
        <v>18</v>
      </c>
      <c r="B263" s="57" t="s">
        <v>18</v>
      </c>
      <c r="C263" s="57" t="s">
        <v>24</v>
      </c>
      <c r="D263" s="57" t="s">
        <v>18</v>
      </c>
      <c r="E263" s="57" t="s">
        <v>24</v>
      </c>
      <c r="F263" s="57" t="s">
        <v>18</v>
      </c>
      <c r="G263" s="57" t="s">
        <v>43</v>
      </c>
      <c r="H263" s="57" t="s">
        <v>19</v>
      </c>
      <c r="I263" s="57" t="s">
        <v>24</v>
      </c>
      <c r="J263" s="57" t="s">
        <v>18</v>
      </c>
      <c r="K263" s="57" t="s">
        <v>18</v>
      </c>
      <c r="L263" s="57" t="s">
        <v>20</v>
      </c>
      <c r="M263" s="57" t="s">
        <v>37</v>
      </c>
      <c r="N263" s="57" t="s">
        <v>18</v>
      </c>
      <c r="O263" s="57" t="s">
        <v>43</v>
      </c>
      <c r="P263" s="57" t="s">
        <v>22</v>
      </c>
      <c r="Q263" s="57" t="s">
        <v>185</v>
      </c>
      <c r="R263" s="149"/>
      <c r="S263" s="66" t="s">
        <v>0</v>
      </c>
      <c r="T263" s="1">
        <v>30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62">
        <f t="shared" si="78"/>
        <v>30</v>
      </c>
      <c r="AB263" s="61">
        <v>2018</v>
      </c>
      <c r="AC263" s="9"/>
      <c r="AD263" s="104"/>
      <c r="AE263" s="104"/>
    </row>
    <row r="264" spans="1:31" ht="16.350000000000001" hidden="1" customHeight="1" x14ac:dyDescent="0.25">
      <c r="A264" s="57" t="s">
        <v>18</v>
      </c>
      <c r="B264" s="57" t="s">
        <v>18</v>
      </c>
      <c r="C264" s="57" t="s">
        <v>24</v>
      </c>
      <c r="D264" s="57" t="s">
        <v>18</v>
      </c>
      <c r="E264" s="57" t="s">
        <v>24</v>
      </c>
      <c r="F264" s="57" t="s">
        <v>18</v>
      </c>
      <c r="G264" s="57" t="s">
        <v>43</v>
      </c>
      <c r="H264" s="57" t="s">
        <v>19</v>
      </c>
      <c r="I264" s="57" t="s">
        <v>24</v>
      </c>
      <c r="J264" s="57" t="s">
        <v>18</v>
      </c>
      <c r="K264" s="57" t="s">
        <v>18</v>
      </c>
      <c r="L264" s="57" t="s">
        <v>20</v>
      </c>
      <c r="M264" s="57" t="s">
        <v>37</v>
      </c>
      <c r="N264" s="57" t="s">
        <v>18</v>
      </c>
      <c r="O264" s="57" t="s">
        <v>24</v>
      </c>
      <c r="P264" s="57" t="s">
        <v>22</v>
      </c>
      <c r="Q264" s="57" t="s">
        <v>46</v>
      </c>
      <c r="R264" s="149"/>
      <c r="S264" s="66" t="s">
        <v>0</v>
      </c>
      <c r="T264" s="1">
        <v>113.2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62">
        <f t="shared" si="78"/>
        <v>113.2</v>
      </c>
      <c r="AB264" s="61">
        <v>2018</v>
      </c>
      <c r="AC264" s="9"/>
      <c r="AD264" s="104"/>
      <c r="AE264" s="104"/>
    </row>
    <row r="265" spans="1:31" ht="16.350000000000001" hidden="1" customHeight="1" x14ac:dyDescent="0.25">
      <c r="A265" s="57" t="s">
        <v>18</v>
      </c>
      <c r="B265" s="57" t="s">
        <v>18</v>
      </c>
      <c r="C265" s="57" t="s">
        <v>24</v>
      </c>
      <c r="D265" s="57" t="s">
        <v>18</v>
      </c>
      <c r="E265" s="57" t="s">
        <v>24</v>
      </c>
      <c r="F265" s="57" t="s">
        <v>18</v>
      </c>
      <c r="G265" s="57" t="s">
        <v>43</v>
      </c>
      <c r="H265" s="57" t="s">
        <v>19</v>
      </c>
      <c r="I265" s="57" t="s">
        <v>24</v>
      </c>
      <c r="J265" s="57" t="s">
        <v>18</v>
      </c>
      <c r="K265" s="57" t="s">
        <v>18</v>
      </c>
      <c r="L265" s="57" t="s">
        <v>20</v>
      </c>
      <c r="M265" s="57" t="s">
        <v>37</v>
      </c>
      <c r="N265" s="57" t="s">
        <v>18</v>
      </c>
      <c r="O265" s="57" t="s">
        <v>24</v>
      </c>
      <c r="P265" s="57" t="s">
        <v>22</v>
      </c>
      <c r="Q265" s="57" t="s">
        <v>39</v>
      </c>
      <c r="R265" s="149"/>
      <c r="S265" s="66" t="s">
        <v>0</v>
      </c>
      <c r="T265" s="1">
        <v>422.6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2">
        <f t="shared" si="78"/>
        <v>422.6</v>
      </c>
      <c r="AB265" s="61">
        <v>2018</v>
      </c>
      <c r="AC265" s="9"/>
      <c r="AD265" s="104"/>
      <c r="AE265" s="104"/>
    </row>
    <row r="266" spans="1:31" ht="33.6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91" t="s">
        <v>209</v>
      </c>
      <c r="S266" s="87" t="s">
        <v>182</v>
      </c>
      <c r="T266" s="3">
        <v>1046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6">
        <f t="shared" si="78"/>
        <v>1046</v>
      </c>
      <c r="AB266" s="41">
        <v>2018</v>
      </c>
      <c r="AC266" s="9"/>
      <c r="AD266" s="104"/>
      <c r="AE266" s="104"/>
    </row>
    <row r="267" spans="1:31" ht="21.75" hidden="1" customHeight="1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149" t="s">
        <v>210</v>
      </c>
      <c r="S267" s="66" t="s">
        <v>0</v>
      </c>
      <c r="T267" s="1">
        <f>SUM(T268:T270)</f>
        <v>835.4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2">
        <f>SUM(T267:Y267)</f>
        <v>835.4</v>
      </c>
      <c r="AB267" s="61">
        <v>2018</v>
      </c>
      <c r="AC267" s="9"/>
      <c r="AD267" s="104"/>
      <c r="AE267" s="104"/>
    </row>
    <row r="268" spans="1:31" ht="22.9" hidden="1" customHeight="1" x14ac:dyDescent="0.25">
      <c r="A268" s="57" t="s">
        <v>18</v>
      </c>
      <c r="B268" s="57" t="s">
        <v>18</v>
      </c>
      <c r="C268" s="57" t="s">
        <v>24</v>
      </c>
      <c r="D268" s="57" t="s">
        <v>18</v>
      </c>
      <c r="E268" s="57" t="s">
        <v>21</v>
      </c>
      <c r="F268" s="57" t="s">
        <v>18</v>
      </c>
      <c r="G268" s="57" t="s">
        <v>22</v>
      </c>
      <c r="H268" s="57" t="s">
        <v>19</v>
      </c>
      <c r="I268" s="57" t="s">
        <v>24</v>
      </c>
      <c r="J268" s="57" t="s">
        <v>18</v>
      </c>
      <c r="K268" s="57" t="s">
        <v>18</v>
      </c>
      <c r="L268" s="57" t="s">
        <v>20</v>
      </c>
      <c r="M268" s="57" t="s">
        <v>19</v>
      </c>
      <c r="N268" s="57" t="s">
        <v>18</v>
      </c>
      <c r="O268" s="57" t="s">
        <v>24</v>
      </c>
      <c r="P268" s="57" t="s">
        <v>22</v>
      </c>
      <c r="Q268" s="57" t="s">
        <v>45</v>
      </c>
      <c r="R268" s="149"/>
      <c r="S268" s="66" t="s">
        <v>0</v>
      </c>
      <c r="T268" s="1">
        <v>334.2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2">
        <f>SUM(T268:Y268)</f>
        <v>334.2</v>
      </c>
      <c r="AB268" s="61">
        <v>2018</v>
      </c>
      <c r="AC268" s="9"/>
      <c r="AD268" s="104"/>
      <c r="AE268" s="104"/>
    </row>
    <row r="269" spans="1:31" ht="22.15" hidden="1" customHeight="1" x14ac:dyDescent="0.25">
      <c r="A269" s="57" t="s">
        <v>18</v>
      </c>
      <c r="B269" s="57" t="s">
        <v>18</v>
      </c>
      <c r="C269" s="57" t="s">
        <v>24</v>
      </c>
      <c r="D269" s="57" t="s">
        <v>18</v>
      </c>
      <c r="E269" s="57" t="s">
        <v>21</v>
      </c>
      <c r="F269" s="57" t="s">
        <v>18</v>
      </c>
      <c r="G269" s="57" t="s">
        <v>22</v>
      </c>
      <c r="H269" s="57" t="s">
        <v>19</v>
      </c>
      <c r="I269" s="57" t="s">
        <v>24</v>
      </c>
      <c r="J269" s="57" t="s">
        <v>18</v>
      </c>
      <c r="K269" s="57" t="s">
        <v>18</v>
      </c>
      <c r="L269" s="57" t="s">
        <v>20</v>
      </c>
      <c r="M269" s="57" t="s">
        <v>37</v>
      </c>
      <c r="N269" s="57" t="s">
        <v>18</v>
      </c>
      <c r="O269" s="57" t="s">
        <v>24</v>
      </c>
      <c r="P269" s="57" t="s">
        <v>22</v>
      </c>
      <c r="Q269" s="57" t="s">
        <v>46</v>
      </c>
      <c r="R269" s="149"/>
      <c r="S269" s="66" t="s">
        <v>0</v>
      </c>
      <c r="T269" s="1">
        <v>83.5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2">
        <f>SUM(T269:Y269)</f>
        <v>83.5</v>
      </c>
      <c r="AB269" s="61">
        <v>2018</v>
      </c>
      <c r="AC269" s="9"/>
      <c r="AD269" s="104"/>
      <c r="AE269" s="104"/>
    </row>
    <row r="270" spans="1:31" ht="21.75" hidden="1" customHeight="1" x14ac:dyDescent="0.25">
      <c r="A270" s="57" t="s">
        <v>18</v>
      </c>
      <c r="B270" s="57" t="s">
        <v>18</v>
      </c>
      <c r="C270" s="57" t="s">
        <v>24</v>
      </c>
      <c r="D270" s="57" t="s">
        <v>18</v>
      </c>
      <c r="E270" s="57" t="s">
        <v>21</v>
      </c>
      <c r="F270" s="57" t="s">
        <v>18</v>
      </c>
      <c r="G270" s="57" t="s">
        <v>22</v>
      </c>
      <c r="H270" s="57" t="s">
        <v>19</v>
      </c>
      <c r="I270" s="57" t="s">
        <v>24</v>
      </c>
      <c r="J270" s="57" t="s">
        <v>18</v>
      </c>
      <c r="K270" s="57" t="s">
        <v>18</v>
      </c>
      <c r="L270" s="57" t="s">
        <v>20</v>
      </c>
      <c r="M270" s="57" t="s">
        <v>37</v>
      </c>
      <c r="N270" s="57" t="s">
        <v>18</v>
      </c>
      <c r="O270" s="57" t="s">
        <v>24</v>
      </c>
      <c r="P270" s="57" t="s">
        <v>22</v>
      </c>
      <c r="Q270" s="57" t="s">
        <v>39</v>
      </c>
      <c r="R270" s="149"/>
      <c r="S270" s="66" t="s">
        <v>0</v>
      </c>
      <c r="T270" s="1">
        <v>417.7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62">
        <f>SUM(T270:Y270)</f>
        <v>417.7</v>
      </c>
      <c r="AB270" s="61">
        <v>2018</v>
      </c>
      <c r="AC270" s="9"/>
      <c r="AD270" s="104"/>
      <c r="AE270" s="104"/>
    </row>
    <row r="271" spans="1:31" ht="47.45" hidden="1" customHeight="1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91" t="s">
        <v>211</v>
      </c>
      <c r="S271" s="87" t="s">
        <v>8</v>
      </c>
      <c r="T271" s="44">
        <v>1</v>
      </c>
      <c r="U271" s="44">
        <v>0</v>
      </c>
      <c r="V271" s="44">
        <v>0</v>
      </c>
      <c r="W271" s="44">
        <v>0</v>
      </c>
      <c r="X271" s="44">
        <v>0</v>
      </c>
      <c r="Y271" s="44">
        <v>0</v>
      </c>
      <c r="Z271" s="44">
        <v>0</v>
      </c>
      <c r="AA271" s="6">
        <f>SUM(T271:Y271)</f>
        <v>1</v>
      </c>
      <c r="AB271" s="41">
        <v>2018</v>
      </c>
      <c r="AC271" s="9"/>
      <c r="AD271" s="104"/>
      <c r="AE271" s="104"/>
    </row>
    <row r="272" spans="1:31" ht="16.350000000000001" hidden="1" customHeight="1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149" t="s">
        <v>212</v>
      </c>
      <c r="S272" s="66" t="s">
        <v>0</v>
      </c>
      <c r="T272" s="1">
        <f>SUM(T273:T275)</f>
        <v>952.5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2">
        <f t="shared" ref="AA272:AA301" si="81">SUM(T272:Y272)</f>
        <v>952.5</v>
      </c>
      <c r="AB272" s="61">
        <v>2018</v>
      </c>
      <c r="AC272" s="9"/>
      <c r="AD272" s="104"/>
      <c r="AE272" s="104"/>
    </row>
    <row r="273" spans="1:31" ht="16.350000000000001" hidden="1" customHeight="1" x14ac:dyDescent="0.25">
      <c r="A273" s="57" t="s">
        <v>18</v>
      </c>
      <c r="B273" s="57" t="s">
        <v>18</v>
      </c>
      <c r="C273" s="57" t="s">
        <v>24</v>
      </c>
      <c r="D273" s="57" t="s">
        <v>18</v>
      </c>
      <c r="E273" s="57" t="s">
        <v>21</v>
      </c>
      <c r="F273" s="57" t="s">
        <v>18</v>
      </c>
      <c r="G273" s="57" t="s">
        <v>22</v>
      </c>
      <c r="H273" s="57" t="s">
        <v>19</v>
      </c>
      <c r="I273" s="57" t="s">
        <v>24</v>
      </c>
      <c r="J273" s="57" t="s">
        <v>18</v>
      </c>
      <c r="K273" s="57" t="s">
        <v>18</v>
      </c>
      <c r="L273" s="57" t="s">
        <v>20</v>
      </c>
      <c r="M273" s="57" t="s">
        <v>19</v>
      </c>
      <c r="N273" s="57" t="s">
        <v>18</v>
      </c>
      <c r="O273" s="57" t="s">
        <v>24</v>
      </c>
      <c r="P273" s="57" t="s">
        <v>22</v>
      </c>
      <c r="Q273" s="57" t="s">
        <v>45</v>
      </c>
      <c r="R273" s="149"/>
      <c r="S273" s="66" t="s">
        <v>0</v>
      </c>
      <c r="T273" s="1">
        <v>381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2">
        <f t="shared" si="81"/>
        <v>381</v>
      </c>
      <c r="AB273" s="61">
        <v>2018</v>
      </c>
      <c r="AC273" s="9"/>
      <c r="AD273" s="104"/>
      <c r="AE273" s="104"/>
    </row>
    <row r="274" spans="1:31" ht="16.350000000000001" hidden="1" customHeight="1" x14ac:dyDescent="0.25">
      <c r="A274" s="57" t="s">
        <v>18</v>
      </c>
      <c r="B274" s="57" t="s">
        <v>18</v>
      </c>
      <c r="C274" s="57" t="s">
        <v>24</v>
      </c>
      <c r="D274" s="57" t="s">
        <v>18</v>
      </c>
      <c r="E274" s="57" t="s">
        <v>21</v>
      </c>
      <c r="F274" s="57" t="s">
        <v>18</v>
      </c>
      <c r="G274" s="57" t="s">
        <v>22</v>
      </c>
      <c r="H274" s="57" t="s">
        <v>19</v>
      </c>
      <c r="I274" s="57" t="s">
        <v>24</v>
      </c>
      <c r="J274" s="57" t="s">
        <v>18</v>
      </c>
      <c r="K274" s="57" t="s">
        <v>18</v>
      </c>
      <c r="L274" s="57" t="s">
        <v>20</v>
      </c>
      <c r="M274" s="57" t="s">
        <v>37</v>
      </c>
      <c r="N274" s="57" t="s">
        <v>18</v>
      </c>
      <c r="O274" s="57" t="s">
        <v>24</v>
      </c>
      <c r="P274" s="57" t="s">
        <v>22</v>
      </c>
      <c r="Q274" s="57" t="s">
        <v>46</v>
      </c>
      <c r="R274" s="149"/>
      <c r="S274" s="66" t="s">
        <v>0</v>
      </c>
      <c r="T274" s="1">
        <v>114.3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2">
        <f t="shared" si="81"/>
        <v>114.3</v>
      </c>
      <c r="AB274" s="61">
        <v>2018</v>
      </c>
      <c r="AC274" s="9"/>
      <c r="AD274" s="104"/>
      <c r="AE274" s="104"/>
    </row>
    <row r="275" spans="1:31" ht="16.350000000000001" hidden="1" customHeight="1" x14ac:dyDescent="0.25">
      <c r="A275" s="57" t="s">
        <v>18</v>
      </c>
      <c r="B275" s="57" t="s">
        <v>18</v>
      </c>
      <c r="C275" s="57" t="s">
        <v>24</v>
      </c>
      <c r="D275" s="57" t="s">
        <v>18</v>
      </c>
      <c r="E275" s="57" t="s">
        <v>21</v>
      </c>
      <c r="F275" s="57" t="s">
        <v>18</v>
      </c>
      <c r="G275" s="57" t="s">
        <v>22</v>
      </c>
      <c r="H275" s="57" t="s">
        <v>19</v>
      </c>
      <c r="I275" s="57" t="s">
        <v>24</v>
      </c>
      <c r="J275" s="57" t="s">
        <v>18</v>
      </c>
      <c r="K275" s="57" t="s">
        <v>18</v>
      </c>
      <c r="L275" s="57" t="s">
        <v>20</v>
      </c>
      <c r="M275" s="57" t="s">
        <v>37</v>
      </c>
      <c r="N275" s="57" t="s">
        <v>18</v>
      </c>
      <c r="O275" s="57" t="s">
        <v>24</v>
      </c>
      <c r="P275" s="57" t="s">
        <v>22</v>
      </c>
      <c r="Q275" s="57" t="s">
        <v>39</v>
      </c>
      <c r="R275" s="149"/>
      <c r="S275" s="66" t="s">
        <v>0</v>
      </c>
      <c r="T275" s="1">
        <v>457.2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62">
        <f t="shared" si="81"/>
        <v>457.2</v>
      </c>
      <c r="AB275" s="61">
        <v>2018</v>
      </c>
      <c r="AC275" s="9"/>
      <c r="AD275" s="104"/>
      <c r="AE275" s="104"/>
    </row>
    <row r="276" spans="1:31" ht="31.15" hidden="1" customHeight="1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83" t="s">
        <v>213</v>
      </c>
      <c r="S276" s="87" t="s">
        <v>182</v>
      </c>
      <c r="T276" s="3">
        <v>151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6">
        <f t="shared" si="81"/>
        <v>151</v>
      </c>
      <c r="AB276" s="41">
        <v>2018</v>
      </c>
      <c r="AC276" s="9"/>
      <c r="AD276" s="104"/>
      <c r="AE276" s="104"/>
    </row>
    <row r="277" spans="1:31" ht="15.6" hidden="1" customHeight="1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149" t="s">
        <v>214</v>
      </c>
      <c r="S277" s="66" t="s">
        <v>0</v>
      </c>
      <c r="T277" s="1">
        <f>SUM(T278:T280)</f>
        <v>435.8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2">
        <f t="shared" si="81"/>
        <v>435.8</v>
      </c>
      <c r="AB277" s="61">
        <v>2018</v>
      </c>
      <c r="AC277" s="9"/>
      <c r="AD277" s="104"/>
      <c r="AE277" s="104"/>
    </row>
    <row r="278" spans="1:31" ht="15.6" hidden="1" customHeight="1" x14ac:dyDescent="0.25">
      <c r="A278" s="57" t="s">
        <v>18</v>
      </c>
      <c r="B278" s="57" t="s">
        <v>18</v>
      </c>
      <c r="C278" s="57" t="s">
        <v>24</v>
      </c>
      <c r="D278" s="57" t="s">
        <v>18</v>
      </c>
      <c r="E278" s="57" t="s">
        <v>21</v>
      </c>
      <c r="F278" s="57" t="s">
        <v>18</v>
      </c>
      <c r="G278" s="57" t="s">
        <v>22</v>
      </c>
      <c r="H278" s="57" t="s">
        <v>19</v>
      </c>
      <c r="I278" s="57" t="s">
        <v>24</v>
      </c>
      <c r="J278" s="57" t="s">
        <v>18</v>
      </c>
      <c r="K278" s="57" t="s">
        <v>18</v>
      </c>
      <c r="L278" s="57" t="s">
        <v>20</v>
      </c>
      <c r="M278" s="57" t="s">
        <v>19</v>
      </c>
      <c r="N278" s="57" t="s">
        <v>18</v>
      </c>
      <c r="O278" s="57" t="s">
        <v>24</v>
      </c>
      <c r="P278" s="57" t="s">
        <v>22</v>
      </c>
      <c r="Q278" s="57" t="s">
        <v>45</v>
      </c>
      <c r="R278" s="149"/>
      <c r="S278" s="66" t="s">
        <v>0</v>
      </c>
      <c r="T278" s="1">
        <v>174.3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2">
        <f t="shared" si="81"/>
        <v>174.3</v>
      </c>
      <c r="AB278" s="61">
        <v>2018</v>
      </c>
      <c r="AC278" s="9"/>
      <c r="AD278" s="104"/>
      <c r="AE278" s="104"/>
    </row>
    <row r="279" spans="1:31" ht="15.6" hidden="1" customHeight="1" x14ac:dyDescent="0.25">
      <c r="A279" s="57" t="s">
        <v>18</v>
      </c>
      <c r="B279" s="57" t="s">
        <v>18</v>
      </c>
      <c r="C279" s="57" t="s">
        <v>24</v>
      </c>
      <c r="D279" s="57" t="s">
        <v>18</v>
      </c>
      <c r="E279" s="57" t="s">
        <v>21</v>
      </c>
      <c r="F279" s="57" t="s">
        <v>18</v>
      </c>
      <c r="G279" s="57" t="s">
        <v>22</v>
      </c>
      <c r="H279" s="57" t="s">
        <v>19</v>
      </c>
      <c r="I279" s="57" t="s">
        <v>24</v>
      </c>
      <c r="J279" s="57" t="s">
        <v>18</v>
      </c>
      <c r="K279" s="57" t="s">
        <v>18</v>
      </c>
      <c r="L279" s="57" t="s">
        <v>20</v>
      </c>
      <c r="M279" s="57" t="s">
        <v>37</v>
      </c>
      <c r="N279" s="57" t="s">
        <v>18</v>
      </c>
      <c r="O279" s="57" t="s">
        <v>24</v>
      </c>
      <c r="P279" s="57" t="s">
        <v>22</v>
      </c>
      <c r="Q279" s="57" t="s">
        <v>46</v>
      </c>
      <c r="R279" s="149"/>
      <c r="S279" s="66" t="s">
        <v>0</v>
      </c>
      <c r="T279" s="1">
        <v>45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2">
        <f t="shared" si="81"/>
        <v>45</v>
      </c>
      <c r="AB279" s="61">
        <v>2018</v>
      </c>
      <c r="AC279" s="9"/>
      <c r="AD279" s="104"/>
      <c r="AE279" s="104"/>
    </row>
    <row r="280" spans="1:31" ht="15.6" hidden="1" customHeight="1" x14ac:dyDescent="0.25">
      <c r="A280" s="57" t="s">
        <v>18</v>
      </c>
      <c r="B280" s="57" t="s">
        <v>18</v>
      </c>
      <c r="C280" s="57" t="s">
        <v>24</v>
      </c>
      <c r="D280" s="57" t="s">
        <v>18</v>
      </c>
      <c r="E280" s="57" t="s">
        <v>21</v>
      </c>
      <c r="F280" s="57" t="s">
        <v>18</v>
      </c>
      <c r="G280" s="57" t="s">
        <v>22</v>
      </c>
      <c r="H280" s="57" t="s">
        <v>19</v>
      </c>
      <c r="I280" s="57" t="s">
        <v>24</v>
      </c>
      <c r="J280" s="57" t="s">
        <v>18</v>
      </c>
      <c r="K280" s="57" t="s">
        <v>18</v>
      </c>
      <c r="L280" s="57" t="s">
        <v>20</v>
      </c>
      <c r="M280" s="57" t="s">
        <v>37</v>
      </c>
      <c r="N280" s="57" t="s">
        <v>18</v>
      </c>
      <c r="O280" s="57" t="s">
        <v>24</v>
      </c>
      <c r="P280" s="57" t="s">
        <v>22</v>
      </c>
      <c r="Q280" s="57" t="s">
        <v>39</v>
      </c>
      <c r="R280" s="149"/>
      <c r="S280" s="66" t="s">
        <v>0</v>
      </c>
      <c r="T280" s="1">
        <v>216.5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62">
        <f t="shared" si="81"/>
        <v>216.5</v>
      </c>
      <c r="AB280" s="61">
        <v>2018</v>
      </c>
      <c r="AC280" s="9"/>
      <c r="AD280" s="104"/>
      <c r="AE280" s="104"/>
    </row>
    <row r="281" spans="1:31" ht="46.9" hidden="1" customHeight="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83" t="s">
        <v>215</v>
      </c>
      <c r="S281" s="87" t="s">
        <v>50</v>
      </c>
      <c r="T281" s="44">
        <v>16</v>
      </c>
      <c r="U281" s="44">
        <v>0</v>
      </c>
      <c r="V281" s="44">
        <v>0</v>
      </c>
      <c r="W281" s="44">
        <v>0</v>
      </c>
      <c r="X281" s="44">
        <v>0</v>
      </c>
      <c r="Y281" s="44">
        <v>0</v>
      </c>
      <c r="Z281" s="44">
        <v>0</v>
      </c>
      <c r="AA281" s="52">
        <f t="shared" si="81"/>
        <v>16</v>
      </c>
      <c r="AB281" s="41">
        <v>2018</v>
      </c>
      <c r="AC281" s="9"/>
      <c r="AD281" s="104"/>
      <c r="AE281" s="104"/>
    </row>
    <row r="282" spans="1:31" ht="15.6" hidden="1" customHeight="1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149" t="s">
        <v>216</v>
      </c>
      <c r="S282" s="66" t="s">
        <v>0</v>
      </c>
      <c r="T282" s="1">
        <f>SUM(T283:T285)</f>
        <v>349.1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2">
        <f t="shared" si="81"/>
        <v>349.1</v>
      </c>
      <c r="AB282" s="61">
        <v>2018</v>
      </c>
      <c r="AC282" s="9"/>
      <c r="AD282" s="104"/>
      <c r="AE282" s="104"/>
    </row>
    <row r="283" spans="1:31" ht="15.6" hidden="1" customHeight="1" x14ac:dyDescent="0.25">
      <c r="A283" s="57" t="s">
        <v>18</v>
      </c>
      <c r="B283" s="57" t="s">
        <v>18</v>
      </c>
      <c r="C283" s="57" t="s">
        <v>24</v>
      </c>
      <c r="D283" s="57" t="s">
        <v>18</v>
      </c>
      <c r="E283" s="57" t="s">
        <v>21</v>
      </c>
      <c r="F283" s="57" t="s">
        <v>18</v>
      </c>
      <c r="G283" s="57" t="s">
        <v>22</v>
      </c>
      <c r="H283" s="57" t="s">
        <v>19</v>
      </c>
      <c r="I283" s="57" t="s">
        <v>24</v>
      </c>
      <c r="J283" s="57" t="s">
        <v>18</v>
      </c>
      <c r="K283" s="57" t="s">
        <v>18</v>
      </c>
      <c r="L283" s="57" t="s">
        <v>20</v>
      </c>
      <c r="M283" s="57" t="s">
        <v>19</v>
      </c>
      <c r="N283" s="57" t="s">
        <v>18</v>
      </c>
      <c r="O283" s="57" t="s">
        <v>24</v>
      </c>
      <c r="P283" s="57" t="s">
        <v>22</v>
      </c>
      <c r="Q283" s="57" t="s">
        <v>45</v>
      </c>
      <c r="R283" s="149"/>
      <c r="S283" s="66" t="s">
        <v>0</v>
      </c>
      <c r="T283" s="1">
        <v>139.6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2">
        <f t="shared" si="81"/>
        <v>139.6</v>
      </c>
      <c r="AB283" s="61">
        <v>2018</v>
      </c>
      <c r="AC283" s="9"/>
      <c r="AD283" s="104"/>
      <c r="AE283" s="104"/>
    </row>
    <row r="284" spans="1:31" ht="15.6" hidden="1" customHeight="1" x14ac:dyDescent="0.25">
      <c r="A284" s="57" t="s">
        <v>18</v>
      </c>
      <c r="B284" s="57" t="s">
        <v>18</v>
      </c>
      <c r="C284" s="57" t="s">
        <v>24</v>
      </c>
      <c r="D284" s="57" t="s">
        <v>18</v>
      </c>
      <c r="E284" s="57" t="s">
        <v>21</v>
      </c>
      <c r="F284" s="57" t="s">
        <v>18</v>
      </c>
      <c r="G284" s="57" t="s">
        <v>22</v>
      </c>
      <c r="H284" s="57" t="s">
        <v>19</v>
      </c>
      <c r="I284" s="57" t="s">
        <v>24</v>
      </c>
      <c r="J284" s="57" t="s">
        <v>18</v>
      </c>
      <c r="K284" s="57" t="s">
        <v>18</v>
      </c>
      <c r="L284" s="57" t="s">
        <v>20</v>
      </c>
      <c r="M284" s="57" t="s">
        <v>37</v>
      </c>
      <c r="N284" s="57" t="s">
        <v>18</v>
      </c>
      <c r="O284" s="57" t="s">
        <v>24</v>
      </c>
      <c r="P284" s="57" t="s">
        <v>22</v>
      </c>
      <c r="Q284" s="57" t="s">
        <v>46</v>
      </c>
      <c r="R284" s="149"/>
      <c r="S284" s="66" t="s">
        <v>0</v>
      </c>
      <c r="T284" s="1">
        <v>34.9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2">
        <f t="shared" si="81"/>
        <v>34.9</v>
      </c>
      <c r="AB284" s="61">
        <v>2018</v>
      </c>
      <c r="AC284" s="9"/>
      <c r="AD284" s="104"/>
      <c r="AE284" s="104"/>
    </row>
    <row r="285" spans="1:31" ht="15.6" hidden="1" customHeight="1" x14ac:dyDescent="0.25">
      <c r="A285" s="57" t="s">
        <v>18</v>
      </c>
      <c r="B285" s="57" t="s">
        <v>18</v>
      </c>
      <c r="C285" s="57" t="s">
        <v>24</v>
      </c>
      <c r="D285" s="57" t="s">
        <v>18</v>
      </c>
      <c r="E285" s="57" t="s">
        <v>21</v>
      </c>
      <c r="F285" s="57" t="s">
        <v>18</v>
      </c>
      <c r="G285" s="57" t="s">
        <v>22</v>
      </c>
      <c r="H285" s="57" t="s">
        <v>19</v>
      </c>
      <c r="I285" s="57" t="s">
        <v>24</v>
      </c>
      <c r="J285" s="57" t="s">
        <v>18</v>
      </c>
      <c r="K285" s="57" t="s">
        <v>18</v>
      </c>
      <c r="L285" s="57" t="s">
        <v>20</v>
      </c>
      <c r="M285" s="57" t="s">
        <v>37</v>
      </c>
      <c r="N285" s="57" t="s">
        <v>18</v>
      </c>
      <c r="O285" s="57" t="s">
        <v>24</v>
      </c>
      <c r="P285" s="57" t="s">
        <v>22</v>
      </c>
      <c r="Q285" s="57" t="s">
        <v>39</v>
      </c>
      <c r="R285" s="149"/>
      <c r="S285" s="66" t="s">
        <v>0</v>
      </c>
      <c r="T285" s="1">
        <v>174.6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62">
        <f t="shared" si="81"/>
        <v>174.6</v>
      </c>
      <c r="AB285" s="61">
        <v>2018</v>
      </c>
      <c r="AC285" s="9"/>
      <c r="AD285" s="104"/>
      <c r="AE285" s="104"/>
    </row>
    <row r="286" spans="1:31" ht="30.6" hidden="1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83" t="s">
        <v>217</v>
      </c>
      <c r="S286" s="87" t="s">
        <v>183</v>
      </c>
      <c r="T286" s="3">
        <v>49.7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81"/>
        <v>49.7</v>
      </c>
      <c r="AB286" s="41">
        <v>2018</v>
      </c>
      <c r="AC286" s="9"/>
      <c r="AD286" s="104"/>
      <c r="AE286" s="104"/>
    </row>
    <row r="287" spans="1:31" ht="15.6" hidden="1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149" t="s">
        <v>218</v>
      </c>
      <c r="S287" s="66" t="s">
        <v>0</v>
      </c>
      <c r="T287" s="1">
        <f>SUM(T288:T290)</f>
        <v>508.5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2">
        <f t="shared" si="81"/>
        <v>508.5</v>
      </c>
      <c r="AB287" s="61">
        <v>2018</v>
      </c>
      <c r="AC287" s="9"/>
      <c r="AD287" s="104"/>
      <c r="AE287" s="104"/>
    </row>
    <row r="288" spans="1:31" ht="15.6" hidden="1" customHeight="1" x14ac:dyDescent="0.25">
      <c r="A288" s="57" t="s">
        <v>18</v>
      </c>
      <c r="B288" s="57" t="s">
        <v>18</v>
      </c>
      <c r="C288" s="57" t="s">
        <v>24</v>
      </c>
      <c r="D288" s="57" t="s">
        <v>18</v>
      </c>
      <c r="E288" s="57" t="s">
        <v>21</v>
      </c>
      <c r="F288" s="57" t="s">
        <v>18</v>
      </c>
      <c r="G288" s="57" t="s">
        <v>22</v>
      </c>
      <c r="H288" s="57" t="s">
        <v>19</v>
      </c>
      <c r="I288" s="57" t="s">
        <v>24</v>
      </c>
      <c r="J288" s="57" t="s">
        <v>18</v>
      </c>
      <c r="K288" s="57" t="s">
        <v>18</v>
      </c>
      <c r="L288" s="57" t="s">
        <v>20</v>
      </c>
      <c r="M288" s="57" t="s">
        <v>19</v>
      </c>
      <c r="N288" s="57" t="s">
        <v>18</v>
      </c>
      <c r="O288" s="57" t="s">
        <v>24</v>
      </c>
      <c r="P288" s="57" t="s">
        <v>22</v>
      </c>
      <c r="Q288" s="57" t="s">
        <v>45</v>
      </c>
      <c r="R288" s="149"/>
      <c r="S288" s="66" t="s">
        <v>0</v>
      </c>
      <c r="T288" s="1">
        <v>203.4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2">
        <f t="shared" si="81"/>
        <v>203.4</v>
      </c>
      <c r="AB288" s="61">
        <v>2018</v>
      </c>
      <c r="AC288" s="9"/>
      <c r="AD288" s="104"/>
      <c r="AE288" s="104"/>
    </row>
    <row r="289" spans="1:31" ht="15.6" hidden="1" customHeight="1" x14ac:dyDescent="0.25">
      <c r="A289" s="57" t="s">
        <v>18</v>
      </c>
      <c r="B289" s="57" t="s">
        <v>18</v>
      </c>
      <c r="C289" s="57" t="s">
        <v>24</v>
      </c>
      <c r="D289" s="57" t="s">
        <v>18</v>
      </c>
      <c r="E289" s="57" t="s">
        <v>21</v>
      </c>
      <c r="F289" s="57" t="s">
        <v>18</v>
      </c>
      <c r="G289" s="57" t="s">
        <v>22</v>
      </c>
      <c r="H289" s="57" t="s">
        <v>19</v>
      </c>
      <c r="I289" s="57" t="s">
        <v>24</v>
      </c>
      <c r="J289" s="57" t="s">
        <v>18</v>
      </c>
      <c r="K289" s="57" t="s">
        <v>18</v>
      </c>
      <c r="L289" s="57" t="s">
        <v>20</v>
      </c>
      <c r="M289" s="57" t="s">
        <v>37</v>
      </c>
      <c r="N289" s="57" t="s">
        <v>18</v>
      </c>
      <c r="O289" s="57" t="s">
        <v>24</v>
      </c>
      <c r="P289" s="57" t="s">
        <v>22</v>
      </c>
      <c r="Q289" s="57" t="s">
        <v>46</v>
      </c>
      <c r="R289" s="149"/>
      <c r="S289" s="66" t="s">
        <v>0</v>
      </c>
      <c r="T289" s="1">
        <v>50.9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2">
        <f t="shared" si="81"/>
        <v>50.9</v>
      </c>
      <c r="AB289" s="61">
        <v>2018</v>
      </c>
      <c r="AC289" s="9"/>
      <c r="AD289" s="104"/>
      <c r="AE289" s="104"/>
    </row>
    <row r="290" spans="1:31" ht="15.6" hidden="1" customHeight="1" x14ac:dyDescent="0.25">
      <c r="A290" s="57" t="s">
        <v>18</v>
      </c>
      <c r="B290" s="57" t="s">
        <v>18</v>
      </c>
      <c r="C290" s="57" t="s">
        <v>24</v>
      </c>
      <c r="D290" s="57" t="s">
        <v>18</v>
      </c>
      <c r="E290" s="57" t="s">
        <v>21</v>
      </c>
      <c r="F290" s="57" t="s">
        <v>18</v>
      </c>
      <c r="G290" s="57" t="s">
        <v>22</v>
      </c>
      <c r="H290" s="57" t="s">
        <v>19</v>
      </c>
      <c r="I290" s="57" t="s">
        <v>24</v>
      </c>
      <c r="J290" s="57" t="s">
        <v>18</v>
      </c>
      <c r="K290" s="57" t="s">
        <v>18</v>
      </c>
      <c r="L290" s="57" t="s">
        <v>20</v>
      </c>
      <c r="M290" s="57" t="s">
        <v>37</v>
      </c>
      <c r="N290" s="57" t="s">
        <v>18</v>
      </c>
      <c r="O290" s="57" t="s">
        <v>24</v>
      </c>
      <c r="P290" s="57" t="s">
        <v>22</v>
      </c>
      <c r="Q290" s="57" t="s">
        <v>39</v>
      </c>
      <c r="R290" s="149"/>
      <c r="S290" s="66" t="s">
        <v>0</v>
      </c>
      <c r="T290" s="1">
        <v>254.2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62">
        <f t="shared" si="81"/>
        <v>254.2</v>
      </c>
      <c r="AB290" s="61">
        <v>2018</v>
      </c>
      <c r="AC290" s="9"/>
      <c r="AD290" s="104"/>
      <c r="AE290" s="104"/>
    </row>
    <row r="291" spans="1:31" ht="31.15" hidden="1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83" t="s">
        <v>219</v>
      </c>
      <c r="S291" s="87" t="s">
        <v>183</v>
      </c>
      <c r="T291" s="3">
        <v>88.3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6">
        <f t="shared" si="81"/>
        <v>88.3</v>
      </c>
      <c r="AB291" s="41">
        <v>2018</v>
      </c>
      <c r="AC291" s="9"/>
      <c r="AD291" s="104"/>
      <c r="AE291" s="104"/>
    </row>
    <row r="292" spans="1:31" ht="15.6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149" t="s">
        <v>141</v>
      </c>
      <c r="S292" s="66" t="s">
        <v>0</v>
      </c>
      <c r="T292" s="62">
        <f>SUM(T293:T296)</f>
        <v>8990.0999999999985</v>
      </c>
      <c r="U292" s="62">
        <f>SUM(U293:U299)</f>
        <v>8489.7000000000007</v>
      </c>
      <c r="V292" s="62">
        <v>0</v>
      </c>
      <c r="W292" s="62">
        <v>0</v>
      </c>
      <c r="X292" s="62">
        <v>0</v>
      </c>
      <c r="Y292" s="62">
        <v>0</v>
      </c>
      <c r="Z292" s="62">
        <v>0</v>
      </c>
      <c r="AA292" s="62">
        <f t="shared" si="81"/>
        <v>17479.8</v>
      </c>
      <c r="AB292" s="61">
        <v>2019</v>
      </c>
      <c r="AC292" s="128"/>
      <c r="AD292" s="104"/>
      <c r="AE292" s="104"/>
    </row>
    <row r="293" spans="1:31" x14ac:dyDescent="0.25">
      <c r="A293" s="57" t="s">
        <v>18</v>
      </c>
      <c r="B293" s="57" t="s">
        <v>18</v>
      </c>
      <c r="C293" s="57" t="s">
        <v>21</v>
      </c>
      <c r="D293" s="57" t="s">
        <v>18</v>
      </c>
      <c r="E293" s="57" t="s">
        <v>18</v>
      </c>
      <c r="F293" s="57" t="s">
        <v>18</v>
      </c>
      <c r="G293" s="57" t="s">
        <v>18</v>
      </c>
      <c r="H293" s="57" t="s">
        <v>19</v>
      </c>
      <c r="I293" s="57" t="s">
        <v>24</v>
      </c>
      <c r="J293" s="57" t="s">
        <v>18</v>
      </c>
      <c r="K293" s="57" t="s">
        <v>18</v>
      </c>
      <c r="L293" s="57" t="s">
        <v>20</v>
      </c>
      <c r="M293" s="57" t="s">
        <v>19</v>
      </c>
      <c r="N293" s="57" t="s">
        <v>18</v>
      </c>
      <c r="O293" s="57" t="s">
        <v>24</v>
      </c>
      <c r="P293" s="57" t="s">
        <v>22</v>
      </c>
      <c r="Q293" s="57" t="s">
        <v>45</v>
      </c>
      <c r="R293" s="149"/>
      <c r="S293" s="66" t="s">
        <v>0</v>
      </c>
      <c r="T293" s="1">
        <f>T303+T309+T316+T323+T330+T337+T344+T351+T358+T365+T371+T377</f>
        <v>3538.9999999999995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2">
        <f t="shared" si="81"/>
        <v>3538.9999999999995</v>
      </c>
      <c r="AB293" s="61">
        <v>2018</v>
      </c>
      <c r="AC293" s="128"/>
      <c r="AD293" s="104"/>
      <c r="AE293" s="104"/>
    </row>
    <row r="294" spans="1:31" x14ac:dyDescent="0.25">
      <c r="A294" s="57" t="s">
        <v>18</v>
      </c>
      <c r="B294" s="57" t="s">
        <v>18</v>
      </c>
      <c r="C294" s="57" t="s">
        <v>21</v>
      </c>
      <c r="D294" s="57" t="s">
        <v>18</v>
      </c>
      <c r="E294" s="57" t="s">
        <v>18</v>
      </c>
      <c r="F294" s="57" t="s">
        <v>18</v>
      </c>
      <c r="G294" s="57" t="s">
        <v>18</v>
      </c>
      <c r="H294" s="57" t="s">
        <v>19</v>
      </c>
      <c r="I294" s="57" t="s">
        <v>24</v>
      </c>
      <c r="J294" s="57" t="s">
        <v>18</v>
      </c>
      <c r="K294" s="57" t="s">
        <v>18</v>
      </c>
      <c r="L294" s="57" t="s">
        <v>20</v>
      </c>
      <c r="M294" s="57" t="s">
        <v>19</v>
      </c>
      <c r="N294" s="57" t="s">
        <v>18</v>
      </c>
      <c r="O294" s="57" t="s">
        <v>43</v>
      </c>
      <c r="P294" s="57" t="s">
        <v>22</v>
      </c>
      <c r="Q294" s="57" t="s">
        <v>185</v>
      </c>
      <c r="R294" s="149"/>
      <c r="S294" s="66" t="s">
        <v>0</v>
      </c>
      <c r="T294" s="1">
        <v>339.9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2">
        <f t="shared" si="81"/>
        <v>339.9</v>
      </c>
      <c r="AB294" s="61">
        <v>2018</v>
      </c>
      <c r="AC294" s="128"/>
      <c r="AD294" s="104"/>
      <c r="AE294" s="104"/>
    </row>
    <row r="295" spans="1:31" x14ac:dyDescent="0.25">
      <c r="A295" s="57" t="s">
        <v>18</v>
      </c>
      <c r="B295" s="57" t="s">
        <v>18</v>
      </c>
      <c r="C295" s="57" t="s">
        <v>21</v>
      </c>
      <c r="D295" s="57" t="s">
        <v>18</v>
      </c>
      <c r="E295" s="57" t="s">
        <v>18</v>
      </c>
      <c r="F295" s="57" t="s">
        <v>18</v>
      </c>
      <c r="G295" s="57" t="s">
        <v>18</v>
      </c>
      <c r="H295" s="57" t="s">
        <v>19</v>
      </c>
      <c r="I295" s="57" t="s">
        <v>24</v>
      </c>
      <c r="J295" s="57" t="s">
        <v>18</v>
      </c>
      <c r="K295" s="57" t="s">
        <v>18</v>
      </c>
      <c r="L295" s="57" t="s">
        <v>20</v>
      </c>
      <c r="M295" s="57" t="s">
        <v>37</v>
      </c>
      <c r="N295" s="57" t="s">
        <v>18</v>
      </c>
      <c r="O295" s="57" t="s">
        <v>24</v>
      </c>
      <c r="P295" s="57" t="s">
        <v>22</v>
      </c>
      <c r="Q295" s="57" t="s">
        <v>46</v>
      </c>
      <c r="R295" s="149"/>
      <c r="S295" s="66" t="s">
        <v>0</v>
      </c>
      <c r="T295" s="1">
        <f>T304+T305+T311+T312+T318+T319+T325+T326+T332+T333+T339+T340+T346+T347+T353+T354+T360+T361+T367+T373+T380+T379</f>
        <v>1913.5</v>
      </c>
      <c r="U295" s="1">
        <v>1308.8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62">
        <f t="shared" si="81"/>
        <v>3222.3</v>
      </c>
      <c r="AB295" s="61">
        <v>2019</v>
      </c>
      <c r="AC295" s="128"/>
      <c r="AD295" s="104"/>
      <c r="AE295" s="104"/>
    </row>
    <row r="296" spans="1:31" x14ac:dyDescent="0.25">
      <c r="A296" s="57" t="s">
        <v>18</v>
      </c>
      <c r="B296" s="57" t="s">
        <v>18</v>
      </c>
      <c r="C296" s="57" t="s">
        <v>21</v>
      </c>
      <c r="D296" s="57" t="s">
        <v>18</v>
      </c>
      <c r="E296" s="57" t="s">
        <v>18</v>
      </c>
      <c r="F296" s="57" t="s">
        <v>18</v>
      </c>
      <c r="G296" s="57" t="s">
        <v>18</v>
      </c>
      <c r="H296" s="57" t="s">
        <v>19</v>
      </c>
      <c r="I296" s="57" t="s">
        <v>24</v>
      </c>
      <c r="J296" s="57" t="s">
        <v>18</v>
      </c>
      <c r="K296" s="57" t="s">
        <v>18</v>
      </c>
      <c r="L296" s="57" t="s">
        <v>20</v>
      </c>
      <c r="M296" s="57" t="s">
        <v>37</v>
      </c>
      <c r="N296" s="57" t="s">
        <v>18</v>
      </c>
      <c r="O296" s="57" t="s">
        <v>24</v>
      </c>
      <c r="P296" s="57" t="s">
        <v>22</v>
      </c>
      <c r="Q296" s="57" t="s">
        <v>39</v>
      </c>
      <c r="R296" s="149"/>
      <c r="S296" s="66" t="s">
        <v>0</v>
      </c>
      <c r="T296" s="1">
        <v>3197.7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62">
        <f t="shared" si="81"/>
        <v>3197.7</v>
      </c>
      <c r="AB296" s="61">
        <v>2018</v>
      </c>
      <c r="AC296" s="128"/>
      <c r="AD296" s="104"/>
      <c r="AE296" s="104"/>
    </row>
    <row r="297" spans="1:31" x14ac:dyDescent="0.25">
      <c r="A297" s="57" t="s">
        <v>18</v>
      </c>
      <c r="B297" s="57" t="s">
        <v>18</v>
      </c>
      <c r="C297" s="57" t="s">
        <v>21</v>
      </c>
      <c r="D297" s="57" t="s">
        <v>18</v>
      </c>
      <c r="E297" s="57" t="s">
        <v>18</v>
      </c>
      <c r="F297" s="57" t="s">
        <v>18</v>
      </c>
      <c r="G297" s="57" t="s">
        <v>18</v>
      </c>
      <c r="H297" s="57" t="s">
        <v>19</v>
      </c>
      <c r="I297" s="57" t="s">
        <v>24</v>
      </c>
      <c r="J297" s="57" t="s">
        <v>18</v>
      </c>
      <c r="K297" s="57" t="s">
        <v>18</v>
      </c>
      <c r="L297" s="57" t="s">
        <v>20</v>
      </c>
      <c r="M297" s="57" t="s">
        <v>19</v>
      </c>
      <c r="N297" s="57" t="s">
        <v>18</v>
      </c>
      <c r="O297" s="57" t="s">
        <v>24</v>
      </c>
      <c r="P297" s="57" t="s">
        <v>22</v>
      </c>
      <c r="Q297" s="57" t="s">
        <v>18</v>
      </c>
      <c r="R297" s="149"/>
      <c r="S297" s="66" t="s">
        <v>0</v>
      </c>
      <c r="T297" s="1">
        <v>0</v>
      </c>
      <c r="U297" s="1">
        <f>4114.8-123.3</f>
        <v>3991.5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2">
        <f t="shared" si="81"/>
        <v>3991.5</v>
      </c>
      <c r="AB297" s="61">
        <v>2019</v>
      </c>
      <c r="AC297" s="128"/>
      <c r="AD297" s="104"/>
      <c r="AE297" s="104"/>
    </row>
    <row r="298" spans="1:31" x14ac:dyDescent="0.25">
      <c r="A298" s="57" t="s">
        <v>18</v>
      </c>
      <c r="B298" s="57" t="s">
        <v>18</v>
      </c>
      <c r="C298" s="57" t="s">
        <v>21</v>
      </c>
      <c r="D298" s="57" t="s">
        <v>18</v>
      </c>
      <c r="E298" s="57" t="s">
        <v>18</v>
      </c>
      <c r="F298" s="57" t="s">
        <v>18</v>
      </c>
      <c r="G298" s="57" t="s">
        <v>18</v>
      </c>
      <c r="H298" s="57" t="s">
        <v>19</v>
      </c>
      <c r="I298" s="57" t="s">
        <v>24</v>
      </c>
      <c r="J298" s="57" t="s">
        <v>18</v>
      </c>
      <c r="K298" s="57" t="s">
        <v>18</v>
      </c>
      <c r="L298" s="57" t="s">
        <v>20</v>
      </c>
      <c r="M298" s="57" t="s">
        <v>37</v>
      </c>
      <c r="N298" s="57" t="s">
        <v>18</v>
      </c>
      <c r="O298" s="57" t="s">
        <v>24</v>
      </c>
      <c r="P298" s="57" t="s">
        <v>22</v>
      </c>
      <c r="Q298" s="57" t="s">
        <v>18</v>
      </c>
      <c r="R298" s="149"/>
      <c r="S298" s="66" t="s">
        <v>0</v>
      </c>
      <c r="T298" s="1">
        <v>0</v>
      </c>
      <c r="U298" s="1">
        <f>3035.2-53.3</f>
        <v>2981.8999999999996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2">
        <f t="shared" ref="AA298" si="82">SUM(T298:Y298)</f>
        <v>2981.8999999999996</v>
      </c>
      <c r="AB298" s="61">
        <v>2019</v>
      </c>
      <c r="AC298" s="128"/>
      <c r="AD298" s="104"/>
      <c r="AE298" s="104"/>
    </row>
    <row r="299" spans="1:31" x14ac:dyDescent="0.25">
      <c r="A299" s="57" t="s">
        <v>18</v>
      </c>
      <c r="B299" s="57" t="s">
        <v>18</v>
      </c>
      <c r="C299" s="57" t="s">
        <v>21</v>
      </c>
      <c r="D299" s="57" t="s">
        <v>18</v>
      </c>
      <c r="E299" s="57" t="s">
        <v>18</v>
      </c>
      <c r="F299" s="57" t="s">
        <v>18</v>
      </c>
      <c r="G299" s="57" t="s">
        <v>18</v>
      </c>
      <c r="H299" s="57" t="s">
        <v>19</v>
      </c>
      <c r="I299" s="57" t="s">
        <v>24</v>
      </c>
      <c r="J299" s="57" t="s">
        <v>18</v>
      </c>
      <c r="K299" s="57" t="s">
        <v>18</v>
      </c>
      <c r="L299" s="57" t="s">
        <v>20</v>
      </c>
      <c r="M299" s="57" t="s">
        <v>19</v>
      </c>
      <c r="N299" s="57" t="s">
        <v>18</v>
      </c>
      <c r="O299" s="57" t="s">
        <v>43</v>
      </c>
      <c r="P299" s="57" t="s">
        <v>22</v>
      </c>
      <c r="Q299" s="57" t="s">
        <v>18</v>
      </c>
      <c r="R299" s="149"/>
      <c r="S299" s="66" t="s">
        <v>0</v>
      </c>
      <c r="T299" s="1">
        <v>0</v>
      </c>
      <c r="U299" s="1">
        <f>215-7.5</f>
        <v>207.5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2">
        <f t="shared" ref="AA299" si="83">SUM(T299:Y299)</f>
        <v>207.5</v>
      </c>
      <c r="AB299" s="61">
        <v>2019</v>
      </c>
      <c r="AC299" s="128"/>
      <c r="AD299" s="104"/>
      <c r="AE299" s="104"/>
    </row>
    <row r="300" spans="1:31" ht="47.25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83" t="s">
        <v>327</v>
      </c>
      <c r="S300" s="65" t="s">
        <v>52</v>
      </c>
      <c r="T300" s="3">
        <v>2.7</v>
      </c>
      <c r="U300" s="3">
        <v>1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81"/>
        <v>3.7</v>
      </c>
      <c r="AB300" s="41">
        <v>2019</v>
      </c>
      <c r="AC300" s="9"/>
      <c r="AD300" s="104"/>
      <c r="AE300" s="104"/>
    </row>
    <row r="301" spans="1:31" ht="47.25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83" t="s">
        <v>328</v>
      </c>
      <c r="S301" s="87" t="s">
        <v>50</v>
      </c>
      <c r="T301" s="44">
        <v>11</v>
      </c>
      <c r="U301" s="44">
        <v>6</v>
      </c>
      <c r="V301" s="44">
        <v>0</v>
      </c>
      <c r="W301" s="44">
        <v>0</v>
      </c>
      <c r="X301" s="44">
        <v>0</v>
      </c>
      <c r="Y301" s="44">
        <v>0</v>
      </c>
      <c r="Z301" s="44">
        <v>0</v>
      </c>
      <c r="AA301" s="52">
        <f t="shared" si="81"/>
        <v>17</v>
      </c>
      <c r="AB301" s="41">
        <v>2019</v>
      </c>
      <c r="AC301" s="9"/>
      <c r="AD301" s="104"/>
      <c r="AE301" s="104"/>
    </row>
    <row r="302" spans="1:31" ht="15.6" hidden="1" customHeight="1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149" t="s">
        <v>220</v>
      </c>
      <c r="S302" s="66" t="s">
        <v>0</v>
      </c>
      <c r="T302" s="1">
        <f>SUM(T303:T306)</f>
        <v>1027.7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2">
        <f t="shared" si="78"/>
        <v>1027.7</v>
      </c>
      <c r="AB302" s="61">
        <v>2018</v>
      </c>
      <c r="AC302" s="9"/>
      <c r="AD302" s="104"/>
      <c r="AE302" s="104"/>
    </row>
    <row r="303" spans="1:31" ht="15.6" hidden="1" customHeight="1" x14ac:dyDescent="0.25">
      <c r="A303" s="57" t="s">
        <v>18</v>
      </c>
      <c r="B303" s="57" t="s">
        <v>18</v>
      </c>
      <c r="C303" s="57" t="s">
        <v>21</v>
      </c>
      <c r="D303" s="57" t="s">
        <v>18</v>
      </c>
      <c r="E303" s="57" t="s">
        <v>21</v>
      </c>
      <c r="F303" s="57" t="s">
        <v>18</v>
      </c>
      <c r="G303" s="57" t="s">
        <v>22</v>
      </c>
      <c r="H303" s="57" t="s">
        <v>19</v>
      </c>
      <c r="I303" s="57" t="s">
        <v>24</v>
      </c>
      <c r="J303" s="57" t="s">
        <v>18</v>
      </c>
      <c r="K303" s="57" t="s">
        <v>18</v>
      </c>
      <c r="L303" s="57" t="s">
        <v>20</v>
      </c>
      <c r="M303" s="57" t="s">
        <v>19</v>
      </c>
      <c r="N303" s="57" t="s">
        <v>18</v>
      </c>
      <c r="O303" s="57" t="s">
        <v>24</v>
      </c>
      <c r="P303" s="57" t="s">
        <v>22</v>
      </c>
      <c r="Q303" s="57" t="s">
        <v>45</v>
      </c>
      <c r="R303" s="149"/>
      <c r="S303" s="66" t="s">
        <v>0</v>
      </c>
      <c r="T303" s="1">
        <v>400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2">
        <f t="shared" si="78"/>
        <v>400</v>
      </c>
      <c r="AB303" s="61">
        <v>2018</v>
      </c>
      <c r="AC303" s="9"/>
      <c r="AD303" s="104"/>
      <c r="AE303" s="104"/>
    </row>
    <row r="304" spans="1:31" ht="15.6" hidden="1" customHeight="1" x14ac:dyDescent="0.25">
      <c r="A304" s="57" t="s">
        <v>18</v>
      </c>
      <c r="B304" s="57" t="s">
        <v>18</v>
      </c>
      <c r="C304" s="57" t="s">
        <v>21</v>
      </c>
      <c r="D304" s="57" t="s">
        <v>18</v>
      </c>
      <c r="E304" s="57" t="s">
        <v>21</v>
      </c>
      <c r="F304" s="57" t="s">
        <v>18</v>
      </c>
      <c r="G304" s="57" t="s">
        <v>22</v>
      </c>
      <c r="H304" s="57" t="s">
        <v>19</v>
      </c>
      <c r="I304" s="57" t="s">
        <v>24</v>
      </c>
      <c r="J304" s="57" t="s">
        <v>18</v>
      </c>
      <c r="K304" s="57" t="s">
        <v>18</v>
      </c>
      <c r="L304" s="57" t="s">
        <v>20</v>
      </c>
      <c r="M304" s="57" t="s">
        <v>37</v>
      </c>
      <c r="N304" s="57" t="s">
        <v>18</v>
      </c>
      <c r="O304" s="57" t="s">
        <v>24</v>
      </c>
      <c r="P304" s="57" t="s">
        <v>22</v>
      </c>
      <c r="Q304" s="57" t="s">
        <v>46</v>
      </c>
      <c r="R304" s="149"/>
      <c r="S304" s="66" t="s">
        <v>0</v>
      </c>
      <c r="T304" s="1">
        <v>14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62">
        <f t="shared" si="78"/>
        <v>14</v>
      </c>
      <c r="AB304" s="61">
        <v>2018</v>
      </c>
      <c r="AC304" s="9"/>
      <c r="AD304" s="104"/>
      <c r="AE304" s="104"/>
    </row>
    <row r="305" spans="1:31" ht="15.6" hidden="1" customHeight="1" x14ac:dyDescent="0.25">
      <c r="A305" s="57" t="s">
        <v>18</v>
      </c>
      <c r="B305" s="57" t="s">
        <v>18</v>
      </c>
      <c r="C305" s="57" t="s">
        <v>21</v>
      </c>
      <c r="D305" s="57" t="s">
        <v>18</v>
      </c>
      <c r="E305" s="57" t="s">
        <v>21</v>
      </c>
      <c r="F305" s="57" t="s">
        <v>18</v>
      </c>
      <c r="G305" s="57" t="s">
        <v>22</v>
      </c>
      <c r="H305" s="57" t="s">
        <v>19</v>
      </c>
      <c r="I305" s="57" t="s">
        <v>24</v>
      </c>
      <c r="J305" s="57" t="s">
        <v>18</v>
      </c>
      <c r="K305" s="57" t="s">
        <v>18</v>
      </c>
      <c r="L305" s="57" t="s">
        <v>20</v>
      </c>
      <c r="M305" s="57" t="s">
        <v>37</v>
      </c>
      <c r="N305" s="57" t="s">
        <v>18</v>
      </c>
      <c r="O305" s="57" t="s">
        <v>24</v>
      </c>
      <c r="P305" s="57" t="s">
        <v>22</v>
      </c>
      <c r="Q305" s="57" t="s">
        <v>46</v>
      </c>
      <c r="R305" s="149"/>
      <c r="S305" s="66" t="s">
        <v>0</v>
      </c>
      <c r="T305" s="1">
        <v>157.4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62">
        <f t="shared" si="78"/>
        <v>157.4</v>
      </c>
      <c r="AB305" s="61">
        <v>2018</v>
      </c>
      <c r="AC305" s="9"/>
      <c r="AD305" s="104"/>
      <c r="AE305" s="104"/>
    </row>
    <row r="306" spans="1:31" ht="15.6" hidden="1" customHeight="1" x14ac:dyDescent="0.25">
      <c r="A306" s="57" t="s">
        <v>18</v>
      </c>
      <c r="B306" s="57" t="s">
        <v>18</v>
      </c>
      <c r="C306" s="57" t="s">
        <v>21</v>
      </c>
      <c r="D306" s="57" t="s">
        <v>18</v>
      </c>
      <c r="E306" s="57" t="s">
        <v>21</v>
      </c>
      <c r="F306" s="57" t="s">
        <v>18</v>
      </c>
      <c r="G306" s="57" t="s">
        <v>22</v>
      </c>
      <c r="H306" s="57" t="s">
        <v>19</v>
      </c>
      <c r="I306" s="57" t="s">
        <v>24</v>
      </c>
      <c r="J306" s="57" t="s">
        <v>18</v>
      </c>
      <c r="K306" s="57" t="s">
        <v>18</v>
      </c>
      <c r="L306" s="57" t="s">
        <v>20</v>
      </c>
      <c r="M306" s="57" t="s">
        <v>37</v>
      </c>
      <c r="N306" s="57" t="s">
        <v>18</v>
      </c>
      <c r="O306" s="57" t="s">
        <v>24</v>
      </c>
      <c r="P306" s="57" t="s">
        <v>22</v>
      </c>
      <c r="Q306" s="57" t="s">
        <v>39</v>
      </c>
      <c r="R306" s="149"/>
      <c r="S306" s="66" t="s">
        <v>0</v>
      </c>
      <c r="T306" s="1">
        <v>456.3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2">
        <f t="shared" si="78"/>
        <v>456.3</v>
      </c>
      <c r="AB306" s="61">
        <v>2018</v>
      </c>
      <c r="AC306" s="9"/>
      <c r="AD306" s="104"/>
      <c r="AE306" s="104"/>
    </row>
    <row r="307" spans="1:31" ht="51" hidden="1" customHeight="1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83" t="s">
        <v>221</v>
      </c>
      <c r="S307" s="87" t="s">
        <v>182</v>
      </c>
      <c r="T307" s="3">
        <v>754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6">
        <f t="shared" si="78"/>
        <v>754</v>
      </c>
      <c r="AB307" s="41">
        <v>2018</v>
      </c>
      <c r="AC307" s="9"/>
      <c r="AD307" s="104"/>
      <c r="AE307" s="104"/>
    </row>
    <row r="308" spans="1:31" ht="16.149999999999999" hidden="1" customHeight="1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149" t="s">
        <v>222</v>
      </c>
      <c r="S308" s="66" t="s">
        <v>0</v>
      </c>
      <c r="T308" s="1">
        <f>SUM(T309:T313)</f>
        <v>244.8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2">
        <f t="shared" si="78"/>
        <v>244.8</v>
      </c>
      <c r="AB308" s="61">
        <v>2018</v>
      </c>
      <c r="AC308" s="9"/>
      <c r="AD308" s="104"/>
      <c r="AE308" s="104"/>
    </row>
    <row r="309" spans="1:31" ht="16.149999999999999" hidden="1" customHeight="1" x14ac:dyDescent="0.25">
      <c r="A309" s="57" t="s">
        <v>18</v>
      </c>
      <c r="B309" s="57" t="s">
        <v>18</v>
      </c>
      <c r="C309" s="57" t="s">
        <v>21</v>
      </c>
      <c r="D309" s="57" t="s">
        <v>18</v>
      </c>
      <c r="E309" s="57" t="s">
        <v>21</v>
      </c>
      <c r="F309" s="57" t="s">
        <v>18</v>
      </c>
      <c r="G309" s="57" t="s">
        <v>22</v>
      </c>
      <c r="H309" s="57" t="s">
        <v>19</v>
      </c>
      <c r="I309" s="57" t="s">
        <v>24</v>
      </c>
      <c r="J309" s="57" t="s">
        <v>18</v>
      </c>
      <c r="K309" s="57" t="s">
        <v>18</v>
      </c>
      <c r="L309" s="57" t="s">
        <v>20</v>
      </c>
      <c r="M309" s="57" t="s">
        <v>19</v>
      </c>
      <c r="N309" s="57" t="s">
        <v>18</v>
      </c>
      <c r="O309" s="57" t="s">
        <v>24</v>
      </c>
      <c r="P309" s="57" t="s">
        <v>22</v>
      </c>
      <c r="Q309" s="57" t="s">
        <v>45</v>
      </c>
      <c r="R309" s="149"/>
      <c r="S309" s="66" t="s">
        <v>0</v>
      </c>
      <c r="T309" s="1">
        <v>97.9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2">
        <f t="shared" si="78"/>
        <v>97.9</v>
      </c>
      <c r="AB309" s="61">
        <v>2018</v>
      </c>
      <c r="AC309" s="9"/>
      <c r="AD309" s="104"/>
      <c r="AE309" s="104"/>
    </row>
    <row r="310" spans="1:31" ht="16.149999999999999" hidden="1" customHeight="1" x14ac:dyDescent="0.25">
      <c r="A310" s="57" t="s">
        <v>18</v>
      </c>
      <c r="B310" s="57" t="s">
        <v>18</v>
      </c>
      <c r="C310" s="57" t="s">
        <v>21</v>
      </c>
      <c r="D310" s="57" t="s">
        <v>18</v>
      </c>
      <c r="E310" s="57" t="s">
        <v>21</v>
      </c>
      <c r="F310" s="57" t="s">
        <v>18</v>
      </c>
      <c r="G310" s="57" t="s">
        <v>22</v>
      </c>
      <c r="H310" s="57" t="s">
        <v>19</v>
      </c>
      <c r="I310" s="57" t="s">
        <v>24</v>
      </c>
      <c r="J310" s="57" t="s">
        <v>18</v>
      </c>
      <c r="K310" s="57" t="s">
        <v>18</v>
      </c>
      <c r="L310" s="57" t="s">
        <v>20</v>
      </c>
      <c r="M310" s="57" t="s">
        <v>19</v>
      </c>
      <c r="N310" s="57" t="s">
        <v>18</v>
      </c>
      <c r="O310" s="57" t="s">
        <v>43</v>
      </c>
      <c r="P310" s="57" t="s">
        <v>22</v>
      </c>
      <c r="Q310" s="57" t="s">
        <v>185</v>
      </c>
      <c r="R310" s="149"/>
      <c r="S310" s="66" t="s">
        <v>0</v>
      </c>
      <c r="T310" s="1">
        <v>15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2">
        <f t="shared" si="78"/>
        <v>15</v>
      </c>
      <c r="AB310" s="61">
        <v>2018</v>
      </c>
      <c r="AC310" s="9"/>
      <c r="AD310" s="104"/>
      <c r="AE310" s="104"/>
    </row>
    <row r="311" spans="1:31" ht="16.149999999999999" hidden="1" customHeight="1" x14ac:dyDescent="0.25">
      <c r="A311" s="57" t="s">
        <v>18</v>
      </c>
      <c r="B311" s="57" t="s">
        <v>18</v>
      </c>
      <c r="C311" s="57" t="s">
        <v>21</v>
      </c>
      <c r="D311" s="57" t="s">
        <v>18</v>
      </c>
      <c r="E311" s="57" t="s">
        <v>21</v>
      </c>
      <c r="F311" s="57" t="s">
        <v>18</v>
      </c>
      <c r="G311" s="57" t="s">
        <v>22</v>
      </c>
      <c r="H311" s="57" t="s">
        <v>19</v>
      </c>
      <c r="I311" s="57" t="s">
        <v>24</v>
      </c>
      <c r="J311" s="57" t="s">
        <v>18</v>
      </c>
      <c r="K311" s="57" t="s">
        <v>18</v>
      </c>
      <c r="L311" s="57" t="s">
        <v>20</v>
      </c>
      <c r="M311" s="57" t="s">
        <v>37</v>
      </c>
      <c r="N311" s="57" t="s">
        <v>18</v>
      </c>
      <c r="O311" s="57" t="s">
        <v>24</v>
      </c>
      <c r="P311" s="57" t="s">
        <v>22</v>
      </c>
      <c r="Q311" s="57" t="s">
        <v>46</v>
      </c>
      <c r="R311" s="149"/>
      <c r="S311" s="66" t="s">
        <v>0</v>
      </c>
      <c r="T311" s="1">
        <v>4.9000000000000004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62">
        <f t="shared" si="78"/>
        <v>4.9000000000000004</v>
      </c>
      <c r="AB311" s="61">
        <v>2018</v>
      </c>
      <c r="AC311" s="9"/>
      <c r="AD311" s="104"/>
      <c r="AE311" s="104"/>
    </row>
    <row r="312" spans="1:31" ht="16.149999999999999" hidden="1" customHeight="1" x14ac:dyDescent="0.25">
      <c r="A312" s="57" t="s">
        <v>18</v>
      </c>
      <c r="B312" s="57" t="s">
        <v>18</v>
      </c>
      <c r="C312" s="57" t="s">
        <v>21</v>
      </c>
      <c r="D312" s="57" t="s">
        <v>18</v>
      </c>
      <c r="E312" s="57" t="s">
        <v>21</v>
      </c>
      <c r="F312" s="57" t="s">
        <v>18</v>
      </c>
      <c r="G312" s="57" t="s">
        <v>22</v>
      </c>
      <c r="H312" s="57" t="s">
        <v>19</v>
      </c>
      <c r="I312" s="57" t="s">
        <v>24</v>
      </c>
      <c r="J312" s="57" t="s">
        <v>18</v>
      </c>
      <c r="K312" s="57" t="s">
        <v>18</v>
      </c>
      <c r="L312" s="57" t="s">
        <v>20</v>
      </c>
      <c r="M312" s="57" t="s">
        <v>37</v>
      </c>
      <c r="N312" s="57" t="s">
        <v>18</v>
      </c>
      <c r="O312" s="57" t="s">
        <v>24</v>
      </c>
      <c r="P312" s="57" t="s">
        <v>22</v>
      </c>
      <c r="Q312" s="57" t="s">
        <v>46</v>
      </c>
      <c r="R312" s="149"/>
      <c r="S312" s="66" t="s">
        <v>0</v>
      </c>
      <c r="T312" s="1">
        <v>36.700000000000003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2">
        <f t="shared" si="78"/>
        <v>36.700000000000003</v>
      </c>
      <c r="AB312" s="61">
        <v>2018</v>
      </c>
      <c r="AC312" s="9"/>
      <c r="AD312" s="104"/>
      <c r="AE312" s="104"/>
    </row>
    <row r="313" spans="1:31" ht="16.149999999999999" hidden="1" customHeight="1" x14ac:dyDescent="0.25">
      <c r="A313" s="57" t="s">
        <v>18</v>
      </c>
      <c r="B313" s="57" t="s">
        <v>18</v>
      </c>
      <c r="C313" s="57" t="s">
        <v>21</v>
      </c>
      <c r="D313" s="57" t="s">
        <v>18</v>
      </c>
      <c r="E313" s="57" t="s">
        <v>21</v>
      </c>
      <c r="F313" s="57" t="s">
        <v>18</v>
      </c>
      <c r="G313" s="57" t="s">
        <v>22</v>
      </c>
      <c r="H313" s="57" t="s">
        <v>19</v>
      </c>
      <c r="I313" s="57" t="s">
        <v>24</v>
      </c>
      <c r="J313" s="57" t="s">
        <v>18</v>
      </c>
      <c r="K313" s="57" t="s">
        <v>18</v>
      </c>
      <c r="L313" s="57" t="s">
        <v>20</v>
      </c>
      <c r="M313" s="57" t="s">
        <v>37</v>
      </c>
      <c r="N313" s="57" t="s">
        <v>18</v>
      </c>
      <c r="O313" s="57" t="s">
        <v>24</v>
      </c>
      <c r="P313" s="57" t="s">
        <v>22</v>
      </c>
      <c r="Q313" s="57" t="s">
        <v>39</v>
      </c>
      <c r="R313" s="149"/>
      <c r="S313" s="66" t="s">
        <v>0</v>
      </c>
      <c r="T313" s="1">
        <v>90.3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2">
        <f t="shared" si="78"/>
        <v>90.3</v>
      </c>
      <c r="AB313" s="61">
        <v>2018</v>
      </c>
      <c r="AC313" s="9"/>
      <c r="AD313" s="104"/>
      <c r="AE313" s="104"/>
    </row>
    <row r="314" spans="1:31" ht="52.15" hidden="1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3" t="s">
        <v>223</v>
      </c>
      <c r="S314" s="87" t="s">
        <v>50</v>
      </c>
      <c r="T314" s="44">
        <v>10</v>
      </c>
      <c r="U314" s="44">
        <v>0</v>
      </c>
      <c r="V314" s="44">
        <v>0</v>
      </c>
      <c r="W314" s="44">
        <v>0</v>
      </c>
      <c r="X314" s="44">
        <v>0</v>
      </c>
      <c r="Y314" s="44">
        <v>0</v>
      </c>
      <c r="Z314" s="44">
        <v>0</v>
      </c>
      <c r="AA314" s="52">
        <f t="shared" si="78"/>
        <v>10</v>
      </c>
      <c r="AB314" s="41">
        <v>2018</v>
      </c>
      <c r="AC314" s="9"/>
      <c r="AD314" s="104"/>
      <c r="AE314" s="104"/>
    </row>
    <row r="315" spans="1:31" ht="16.350000000000001" hidden="1" customHeight="1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149" t="s">
        <v>224</v>
      </c>
      <c r="S315" s="66" t="s">
        <v>0</v>
      </c>
      <c r="T315" s="1">
        <f>SUM(T316:T320)</f>
        <v>686.4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2">
        <f t="shared" ref="AA315:AA382" si="84">SUM(T315:Y315)</f>
        <v>686.4</v>
      </c>
      <c r="AB315" s="61">
        <v>2018</v>
      </c>
      <c r="AC315" s="9"/>
      <c r="AD315" s="104"/>
      <c r="AE315" s="104"/>
    </row>
    <row r="316" spans="1:31" ht="16.350000000000001" hidden="1" customHeight="1" x14ac:dyDescent="0.25">
      <c r="A316" s="57" t="s">
        <v>18</v>
      </c>
      <c r="B316" s="57" t="s">
        <v>18</v>
      </c>
      <c r="C316" s="57" t="s">
        <v>21</v>
      </c>
      <c r="D316" s="57" t="s">
        <v>18</v>
      </c>
      <c r="E316" s="57" t="s">
        <v>24</v>
      </c>
      <c r="F316" s="57" t="s">
        <v>18</v>
      </c>
      <c r="G316" s="57" t="s">
        <v>43</v>
      </c>
      <c r="H316" s="57" t="s">
        <v>19</v>
      </c>
      <c r="I316" s="57" t="s">
        <v>24</v>
      </c>
      <c r="J316" s="57" t="s">
        <v>18</v>
      </c>
      <c r="K316" s="57" t="s">
        <v>18</v>
      </c>
      <c r="L316" s="57" t="s">
        <v>20</v>
      </c>
      <c r="M316" s="57" t="s">
        <v>19</v>
      </c>
      <c r="N316" s="57" t="s">
        <v>18</v>
      </c>
      <c r="O316" s="57" t="s">
        <v>24</v>
      </c>
      <c r="P316" s="57" t="s">
        <v>22</v>
      </c>
      <c r="Q316" s="57" t="s">
        <v>45</v>
      </c>
      <c r="R316" s="149"/>
      <c r="S316" s="66" t="s">
        <v>0</v>
      </c>
      <c r="T316" s="1">
        <v>272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2">
        <f t="shared" si="84"/>
        <v>272</v>
      </c>
      <c r="AB316" s="61">
        <v>2018</v>
      </c>
      <c r="AC316" s="9"/>
      <c r="AD316" s="104"/>
      <c r="AE316" s="104"/>
    </row>
    <row r="317" spans="1:31" ht="16.350000000000001" hidden="1" customHeight="1" x14ac:dyDescent="0.25">
      <c r="A317" s="57" t="s">
        <v>18</v>
      </c>
      <c r="B317" s="57" t="s">
        <v>18</v>
      </c>
      <c r="C317" s="57" t="s">
        <v>21</v>
      </c>
      <c r="D317" s="57" t="s">
        <v>18</v>
      </c>
      <c r="E317" s="57" t="s">
        <v>24</v>
      </c>
      <c r="F317" s="57" t="s">
        <v>18</v>
      </c>
      <c r="G317" s="57" t="s">
        <v>43</v>
      </c>
      <c r="H317" s="57" t="s">
        <v>19</v>
      </c>
      <c r="I317" s="57" t="s">
        <v>24</v>
      </c>
      <c r="J317" s="57" t="s">
        <v>18</v>
      </c>
      <c r="K317" s="57" t="s">
        <v>18</v>
      </c>
      <c r="L317" s="57" t="s">
        <v>20</v>
      </c>
      <c r="M317" s="57" t="s">
        <v>19</v>
      </c>
      <c r="N317" s="57" t="s">
        <v>18</v>
      </c>
      <c r="O317" s="57" t="s">
        <v>43</v>
      </c>
      <c r="P317" s="57" t="s">
        <v>22</v>
      </c>
      <c r="Q317" s="57" t="s">
        <v>185</v>
      </c>
      <c r="R317" s="149"/>
      <c r="S317" s="66" t="s">
        <v>0</v>
      </c>
      <c r="T317" s="1">
        <v>30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2">
        <f t="shared" si="84"/>
        <v>30</v>
      </c>
      <c r="AB317" s="61">
        <v>2018</v>
      </c>
      <c r="AC317" s="9"/>
      <c r="AD317" s="104"/>
      <c r="AE317" s="104"/>
    </row>
    <row r="318" spans="1:31" ht="16.350000000000001" hidden="1" customHeight="1" x14ac:dyDescent="0.25">
      <c r="A318" s="57" t="s">
        <v>18</v>
      </c>
      <c r="B318" s="57" t="s">
        <v>18</v>
      </c>
      <c r="C318" s="57" t="s">
        <v>21</v>
      </c>
      <c r="D318" s="57" t="s">
        <v>18</v>
      </c>
      <c r="E318" s="57" t="s">
        <v>24</v>
      </c>
      <c r="F318" s="57" t="s">
        <v>18</v>
      </c>
      <c r="G318" s="57" t="s">
        <v>43</v>
      </c>
      <c r="H318" s="57" t="s">
        <v>19</v>
      </c>
      <c r="I318" s="57" t="s">
        <v>24</v>
      </c>
      <c r="J318" s="57" t="s">
        <v>18</v>
      </c>
      <c r="K318" s="57" t="s">
        <v>18</v>
      </c>
      <c r="L318" s="57" t="s">
        <v>20</v>
      </c>
      <c r="M318" s="57" t="s">
        <v>37</v>
      </c>
      <c r="N318" s="57" t="s">
        <v>18</v>
      </c>
      <c r="O318" s="57" t="s">
        <v>24</v>
      </c>
      <c r="P318" s="57" t="s">
        <v>22</v>
      </c>
      <c r="Q318" s="57" t="s">
        <v>46</v>
      </c>
      <c r="R318" s="149"/>
      <c r="S318" s="66" t="s">
        <v>0</v>
      </c>
      <c r="T318" s="1">
        <v>47.3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62">
        <f t="shared" si="84"/>
        <v>47.3</v>
      </c>
      <c r="AB318" s="61">
        <v>2018</v>
      </c>
      <c r="AC318" s="9"/>
      <c r="AD318" s="104"/>
      <c r="AE318" s="104"/>
    </row>
    <row r="319" spans="1:31" ht="16.350000000000001" hidden="1" customHeight="1" x14ac:dyDescent="0.25">
      <c r="A319" s="57" t="s">
        <v>18</v>
      </c>
      <c r="B319" s="57" t="s">
        <v>18</v>
      </c>
      <c r="C319" s="57" t="s">
        <v>21</v>
      </c>
      <c r="D319" s="57" t="s">
        <v>18</v>
      </c>
      <c r="E319" s="57" t="s">
        <v>24</v>
      </c>
      <c r="F319" s="57" t="s">
        <v>18</v>
      </c>
      <c r="G319" s="57" t="s">
        <v>43</v>
      </c>
      <c r="H319" s="57" t="s">
        <v>19</v>
      </c>
      <c r="I319" s="57" t="s">
        <v>24</v>
      </c>
      <c r="J319" s="57" t="s">
        <v>18</v>
      </c>
      <c r="K319" s="57" t="s">
        <v>18</v>
      </c>
      <c r="L319" s="57" t="s">
        <v>20</v>
      </c>
      <c r="M319" s="57" t="s">
        <v>37</v>
      </c>
      <c r="N319" s="57" t="s">
        <v>18</v>
      </c>
      <c r="O319" s="57" t="s">
        <v>24</v>
      </c>
      <c r="P319" s="57" t="s">
        <v>22</v>
      </c>
      <c r="Q319" s="57" t="s">
        <v>46</v>
      </c>
      <c r="R319" s="149"/>
      <c r="S319" s="66" t="s">
        <v>0</v>
      </c>
      <c r="T319" s="1">
        <v>68.599999999999994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2">
        <f t="shared" si="84"/>
        <v>68.599999999999994</v>
      </c>
      <c r="AB319" s="61">
        <v>2018</v>
      </c>
      <c r="AC319" s="9"/>
      <c r="AD319" s="104"/>
      <c r="AE319" s="104"/>
    </row>
    <row r="320" spans="1:31" ht="16.350000000000001" hidden="1" customHeight="1" x14ac:dyDescent="0.25">
      <c r="A320" s="57" t="s">
        <v>18</v>
      </c>
      <c r="B320" s="57" t="s">
        <v>18</v>
      </c>
      <c r="C320" s="57" t="s">
        <v>21</v>
      </c>
      <c r="D320" s="57" t="s">
        <v>18</v>
      </c>
      <c r="E320" s="57" t="s">
        <v>24</v>
      </c>
      <c r="F320" s="57" t="s">
        <v>18</v>
      </c>
      <c r="G320" s="57" t="s">
        <v>43</v>
      </c>
      <c r="H320" s="57" t="s">
        <v>19</v>
      </c>
      <c r="I320" s="57" t="s">
        <v>24</v>
      </c>
      <c r="J320" s="57" t="s">
        <v>18</v>
      </c>
      <c r="K320" s="57" t="s">
        <v>18</v>
      </c>
      <c r="L320" s="57" t="s">
        <v>20</v>
      </c>
      <c r="M320" s="57" t="s">
        <v>37</v>
      </c>
      <c r="N320" s="57" t="s">
        <v>18</v>
      </c>
      <c r="O320" s="57" t="s">
        <v>24</v>
      </c>
      <c r="P320" s="57" t="s">
        <v>22</v>
      </c>
      <c r="Q320" s="57" t="s">
        <v>39</v>
      </c>
      <c r="R320" s="149"/>
      <c r="S320" s="66" t="s">
        <v>0</v>
      </c>
      <c r="T320" s="1">
        <v>268.5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2">
        <f t="shared" si="84"/>
        <v>268.5</v>
      </c>
      <c r="AB320" s="61">
        <v>2018</v>
      </c>
      <c r="AC320" s="9"/>
      <c r="AD320" s="104"/>
      <c r="AE320" s="104"/>
    </row>
    <row r="321" spans="1:31" ht="53.45" hidden="1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81" t="s">
        <v>225</v>
      </c>
      <c r="S321" s="87" t="s">
        <v>182</v>
      </c>
      <c r="T321" s="3">
        <v>285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6">
        <f t="shared" si="84"/>
        <v>285</v>
      </c>
      <c r="AB321" s="41">
        <v>2018</v>
      </c>
      <c r="AC321" s="9"/>
      <c r="AD321" s="104"/>
      <c r="AE321" s="104"/>
    </row>
    <row r="322" spans="1:31" ht="16.350000000000001" hidden="1" customHeight="1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149" t="s">
        <v>226</v>
      </c>
      <c r="S322" s="66" t="s">
        <v>0</v>
      </c>
      <c r="T322" s="1">
        <f>SUM(T323:T327)</f>
        <v>657.90000000000009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2">
        <f t="shared" si="84"/>
        <v>657.90000000000009</v>
      </c>
      <c r="AB322" s="61">
        <v>2018</v>
      </c>
      <c r="AC322" s="9"/>
      <c r="AD322" s="104"/>
      <c r="AE322" s="104"/>
    </row>
    <row r="323" spans="1:31" ht="16.350000000000001" hidden="1" customHeight="1" x14ac:dyDescent="0.25">
      <c r="A323" s="57" t="s">
        <v>18</v>
      </c>
      <c r="B323" s="57" t="s">
        <v>18</v>
      </c>
      <c r="C323" s="57" t="s">
        <v>21</v>
      </c>
      <c r="D323" s="57" t="s">
        <v>18</v>
      </c>
      <c r="E323" s="57" t="s">
        <v>21</v>
      </c>
      <c r="F323" s="57" t="s">
        <v>18</v>
      </c>
      <c r="G323" s="57" t="s">
        <v>22</v>
      </c>
      <c r="H323" s="57" t="s">
        <v>19</v>
      </c>
      <c r="I323" s="57" t="s">
        <v>24</v>
      </c>
      <c r="J323" s="57" t="s">
        <v>18</v>
      </c>
      <c r="K323" s="57" t="s">
        <v>18</v>
      </c>
      <c r="L323" s="57" t="s">
        <v>20</v>
      </c>
      <c r="M323" s="57" t="s">
        <v>19</v>
      </c>
      <c r="N323" s="57" t="s">
        <v>18</v>
      </c>
      <c r="O323" s="57" t="s">
        <v>24</v>
      </c>
      <c r="P323" s="57" t="s">
        <v>22</v>
      </c>
      <c r="Q323" s="57" t="s">
        <v>45</v>
      </c>
      <c r="R323" s="149"/>
      <c r="S323" s="66" t="s">
        <v>0</v>
      </c>
      <c r="T323" s="1">
        <v>263.10000000000002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2">
        <f t="shared" si="84"/>
        <v>263.10000000000002</v>
      </c>
      <c r="AB323" s="61">
        <v>2018</v>
      </c>
      <c r="AC323" s="9"/>
      <c r="AD323" s="104"/>
      <c r="AE323" s="104"/>
    </row>
    <row r="324" spans="1:31" ht="16.350000000000001" hidden="1" customHeight="1" x14ac:dyDescent="0.25">
      <c r="A324" s="57" t="s">
        <v>18</v>
      </c>
      <c r="B324" s="57" t="s">
        <v>18</v>
      </c>
      <c r="C324" s="57" t="s">
        <v>21</v>
      </c>
      <c r="D324" s="57" t="s">
        <v>18</v>
      </c>
      <c r="E324" s="57" t="s">
        <v>21</v>
      </c>
      <c r="F324" s="57" t="s">
        <v>18</v>
      </c>
      <c r="G324" s="57" t="s">
        <v>22</v>
      </c>
      <c r="H324" s="57" t="s">
        <v>19</v>
      </c>
      <c r="I324" s="57" t="s">
        <v>24</v>
      </c>
      <c r="J324" s="57" t="s">
        <v>18</v>
      </c>
      <c r="K324" s="57" t="s">
        <v>18</v>
      </c>
      <c r="L324" s="57" t="s">
        <v>20</v>
      </c>
      <c r="M324" s="57" t="s">
        <v>19</v>
      </c>
      <c r="N324" s="57" t="s">
        <v>18</v>
      </c>
      <c r="O324" s="57" t="s">
        <v>43</v>
      </c>
      <c r="P324" s="57" t="s">
        <v>22</v>
      </c>
      <c r="Q324" s="57" t="s">
        <v>185</v>
      </c>
      <c r="R324" s="149"/>
      <c r="S324" s="66" t="s">
        <v>0</v>
      </c>
      <c r="T324" s="1">
        <v>40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2">
        <f>SUM(T324:Y324)</f>
        <v>40</v>
      </c>
      <c r="AB324" s="61">
        <v>2018</v>
      </c>
      <c r="AC324" s="9"/>
      <c r="AD324" s="104"/>
      <c r="AE324" s="104"/>
    </row>
    <row r="325" spans="1:31" ht="16.350000000000001" hidden="1" customHeight="1" x14ac:dyDescent="0.25">
      <c r="A325" s="57" t="s">
        <v>18</v>
      </c>
      <c r="B325" s="57" t="s">
        <v>18</v>
      </c>
      <c r="C325" s="57" t="s">
        <v>21</v>
      </c>
      <c r="D325" s="57" t="s">
        <v>18</v>
      </c>
      <c r="E325" s="57" t="s">
        <v>21</v>
      </c>
      <c r="F325" s="57" t="s">
        <v>18</v>
      </c>
      <c r="G325" s="57" t="s">
        <v>22</v>
      </c>
      <c r="H325" s="57" t="s">
        <v>19</v>
      </c>
      <c r="I325" s="57" t="s">
        <v>24</v>
      </c>
      <c r="J325" s="57" t="s">
        <v>18</v>
      </c>
      <c r="K325" s="57" t="s">
        <v>18</v>
      </c>
      <c r="L325" s="57" t="s">
        <v>20</v>
      </c>
      <c r="M325" s="57" t="s">
        <v>37</v>
      </c>
      <c r="N325" s="57" t="s">
        <v>18</v>
      </c>
      <c r="O325" s="57" t="s">
        <v>24</v>
      </c>
      <c r="P325" s="57" t="s">
        <v>22</v>
      </c>
      <c r="Q325" s="57" t="s">
        <v>46</v>
      </c>
      <c r="R325" s="149"/>
      <c r="S325" s="66" t="s">
        <v>0</v>
      </c>
      <c r="T325" s="1">
        <v>5.7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62">
        <f t="shared" si="84"/>
        <v>5.7</v>
      </c>
      <c r="AB325" s="61">
        <v>2018</v>
      </c>
      <c r="AC325" s="9"/>
      <c r="AD325" s="104"/>
      <c r="AE325" s="104"/>
    </row>
    <row r="326" spans="1:31" ht="16.350000000000001" hidden="1" customHeight="1" x14ac:dyDescent="0.25">
      <c r="A326" s="57" t="s">
        <v>18</v>
      </c>
      <c r="B326" s="57" t="s">
        <v>18</v>
      </c>
      <c r="C326" s="57" t="s">
        <v>21</v>
      </c>
      <c r="D326" s="57" t="s">
        <v>18</v>
      </c>
      <c r="E326" s="57" t="s">
        <v>21</v>
      </c>
      <c r="F326" s="57" t="s">
        <v>18</v>
      </c>
      <c r="G326" s="57" t="s">
        <v>22</v>
      </c>
      <c r="H326" s="57" t="s">
        <v>19</v>
      </c>
      <c r="I326" s="57" t="s">
        <v>24</v>
      </c>
      <c r="J326" s="57" t="s">
        <v>18</v>
      </c>
      <c r="K326" s="57" t="s">
        <v>18</v>
      </c>
      <c r="L326" s="57" t="s">
        <v>20</v>
      </c>
      <c r="M326" s="57" t="s">
        <v>37</v>
      </c>
      <c r="N326" s="57" t="s">
        <v>18</v>
      </c>
      <c r="O326" s="57" t="s">
        <v>24</v>
      </c>
      <c r="P326" s="57" t="s">
        <v>22</v>
      </c>
      <c r="Q326" s="57" t="s">
        <v>46</v>
      </c>
      <c r="R326" s="149"/>
      <c r="S326" s="66" t="s">
        <v>0</v>
      </c>
      <c r="T326" s="1">
        <v>98.8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2">
        <f t="shared" si="84"/>
        <v>98.8</v>
      </c>
      <c r="AB326" s="61">
        <v>2018</v>
      </c>
      <c r="AC326" s="9"/>
      <c r="AD326" s="104"/>
      <c r="AE326" s="104"/>
    </row>
    <row r="327" spans="1:31" ht="16.350000000000001" hidden="1" customHeight="1" x14ac:dyDescent="0.25">
      <c r="A327" s="57" t="s">
        <v>18</v>
      </c>
      <c r="B327" s="57" t="s">
        <v>18</v>
      </c>
      <c r="C327" s="57" t="s">
        <v>21</v>
      </c>
      <c r="D327" s="57" t="s">
        <v>18</v>
      </c>
      <c r="E327" s="57" t="s">
        <v>21</v>
      </c>
      <c r="F327" s="57" t="s">
        <v>18</v>
      </c>
      <c r="G327" s="57" t="s">
        <v>22</v>
      </c>
      <c r="H327" s="57" t="s">
        <v>19</v>
      </c>
      <c r="I327" s="57" t="s">
        <v>24</v>
      </c>
      <c r="J327" s="57" t="s">
        <v>18</v>
      </c>
      <c r="K327" s="57" t="s">
        <v>18</v>
      </c>
      <c r="L327" s="57" t="s">
        <v>20</v>
      </c>
      <c r="M327" s="57" t="s">
        <v>37</v>
      </c>
      <c r="N327" s="57" t="s">
        <v>18</v>
      </c>
      <c r="O327" s="57" t="s">
        <v>24</v>
      </c>
      <c r="P327" s="57" t="s">
        <v>22</v>
      </c>
      <c r="Q327" s="57" t="s">
        <v>39</v>
      </c>
      <c r="R327" s="149"/>
      <c r="S327" s="66" t="s">
        <v>0</v>
      </c>
      <c r="T327" s="1">
        <v>250.3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2">
        <f t="shared" si="84"/>
        <v>250.3</v>
      </c>
      <c r="AB327" s="61">
        <v>2018</v>
      </c>
      <c r="AC327" s="9"/>
      <c r="AD327" s="104"/>
      <c r="AE327" s="104"/>
    </row>
    <row r="328" spans="1:31" ht="37.15" hidden="1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3" t="s">
        <v>227</v>
      </c>
      <c r="S328" s="87" t="s">
        <v>182</v>
      </c>
      <c r="T328" s="3">
        <v>443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6">
        <f t="shared" si="84"/>
        <v>443</v>
      </c>
      <c r="AB328" s="41">
        <v>2018</v>
      </c>
      <c r="AC328" s="9"/>
      <c r="AD328" s="104"/>
      <c r="AE328" s="104"/>
    </row>
    <row r="329" spans="1:31" ht="18.600000000000001" hidden="1" customHeight="1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149" t="s">
        <v>228</v>
      </c>
      <c r="S329" s="66" t="s">
        <v>0</v>
      </c>
      <c r="T329" s="1">
        <f>SUM(T330:T334)</f>
        <v>1100.4000000000001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2">
        <f t="shared" si="84"/>
        <v>1100.4000000000001</v>
      </c>
      <c r="AB329" s="61">
        <v>2018</v>
      </c>
      <c r="AC329" s="9"/>
      <c r="AD329" s="104"/>
      <c r="AE329" s="104"/>
    </row>
    <row r="330" spans="1:31" ht="16.350000000000001" hidden="1" customHeight="1" x14ac:dyDescent="0.25">
      <c r="A330" s="57" t="s">
        <v>18</v>
      </c>
      <c r="B330" s="57" t="s">
        <v>18</v>
      </c>
      <c r="C330" s="57" t="s">
        <v>21</v>
      </c>
      <c r="D330" s="57" t="s">
        <v>18</v>
      </c>
      <c r="E330" s="57" t="s">
        <v>21</v>
      </c>
      <c r="F330" s="57" t="s">
        <v>18</v>
      </c>
      <c r="G330" s="57" t="s">
        <v>22</v>
      </c>
      <c r="H330" s="57" t="s">
        <v>19</v>
      </c>
      <c r="I330" s="57" t="s">
        <v>24</v>
      </c>
      <c r="J330" s="57" t="s">
        <v>18</v>
      </c>
      <c r="K330" s="57" t="s">
        <v>18</v>
      </c>
      <c r="L330" s="57" t="s">
        <v>20</v>
      </c>
      <c r="M330" s="57" t="s">
        <v>19</v>
      </c>
      <c r="N330" s="57" t="s">
        <v>18</v>
      </c>
      <c r="O330" s="57" t="s">
        <v>24</v>
      </c>
      <c r="P330" s="57" t="s">
        <v>22</v>
      </c>
      <c r="Q330" s="57" t="s">
        <v>45</v>
      </c>
      <c r="R330" s="149"/>
      <c r="S330" s="66" t="s">
        <v>0</v>
      </c>
      <c r="T330" s="1">
        <v>400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2">
        <f t="shared" si="84"/>
        <v>400</v>
      </c>
      <c r="AB330" s="61">
        <v>2018</v>
      </c>
      <c r="AC330" s="9"/>
      <c r="AD330" s="104"/>
      <c r="AE330" s="104"/>
    </row>
    <row r="331" spans="1:31" ht="16.350000000000001" hidden="1" customHeight="1" x14ac:dyDescent="0.25">
      <c r="A331" s="57" t="s">
        <v>18</v>
      </c>
      <c r="B331" s="57" t="s">
        <v>18</v>
      </c>
      <c r="C331" s="57" t="s">
        <v>21</v>
      </c>
      <c r="D331" s="57" t="s">
        <v>18</v>
      </c>
      <c r="E331" s="57" t="s">
        <v>21</v>
      </c>
      <c r="F331" s="57" t="s">
        <v>18</v>
      </c>
      <c r="G331" s="57" t="s">
        <v>22</v>
      </c>
      <c r="H331" s="57" t="s">
        <v>19</v>
      </c>
      <c r="I331" s="57" t="s">
        <v>24</v>
      </c>
      <c r="J331" s="57" t="s">
        <v>18</v>
      </c>
      <c r="K331" s="57" t="s">
        <v>18</v>
      </c>
      <c r="L331" s="57" t="s">
        <v>20</v>
      </c>
      <c r="M331" s="57" t="s">
        <v>19</v>
      </c>
      <c r="N331" s="57" t="s">
        <v>18</v>
      </c>
      <c r="O331" s="57" t="s">
        <v>43</v>
      </c>
      <c r="P331" s="57" t="s">
        <v>22</v>
      </c>
      <c r="Q331" s="57" t="s">
        <v>185</v>
      </c>
      <c r="R331" s="149"/>
      <c r="S331" s="66" t="s">
        <v>0</v>
      </c>
      <c r="T331" s="1">
        <v>40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2">
        <f t="shared" si="84"/>
        <v>40</v>
      </c>
      <c r="AB331" s="61">
        <v>2018</v>
      </c>
      <c r="AC331" s="9"/>
      <c r="AD331" s="104"/>
      <c r="AE331" s="104"/>
    </row>
    <row r="332" spans="1:31" ht="16.350000000000001" hidden="1" customHeight="1" x14ac:dyDescent="0.25">
      <c r="A332" s="57" t="s">
        <v>18</v>
      </c>
      <c r="B332" s="57" t="s">
        <v>18</v>
      </c>
      <c r="C332" s="57" t="s">
        <v>21</v>
      </c>
      <c r="D332" s="57" t="s">
        <v>18</v>
      </c>
      <c r="E332" s="57" t="s">
        <v>21</v>
      </c>
      <c r="F332" s="57" t="s">
        <v>18</v>
      </c>
      <c r="G332" s="57" t="s">
        <v>22</v>
      </c>
      <c r="H332" s="57" t="s">
        <v>19</v>
      </c>
      <c r="I332" s="57" t="s">
        <v>24</v>
      </c>
      <c r="J332" s="57" t="s">
        <v>18</v>
      </c>
      <c r="K332" s="57" t="s">
        <v>18</v>
      </c>
      <c r="L332" s="57" t="s">
        <v>20</v>
      </c>
      <c r="M332" s="57" t="s">
        <v>37</v>
      </c>
      <c r="N332" s="57" t="s">
        <v>18</v>
      </c>
      <c r="O332" s="57" t="s">
        <v>24</v>
      </c>
      <c r="P332" s="57" t="s">
        <v>22</v>
      </c>
      <c r="Q332" s="57" t="s">
        <v>46</v>
      </c>
      <c r="R332" s="149"/>
      <c r="S332" s="66" t="s">
        <v>0</v>
      </c>
      <c r="T332" s="1">
        <v>30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62">
        <f t="shared" si="84"/>
        <v>30</v>
      </c>
      <c r="AB332" s="61">
        <v>2018</v>
      </c>
      <c r="AC332" s="9"/>
      <c r="AD332" s="104"/>
      <c r="AE332" s="104"/>
    </row>
    <row r="333" spans="1:31" ht="16.350000000000001" hidden="1" customHeight="1" x14ac:dyDescent="0.25">
      <c r="A333" s="57" t="s">
        <v>18</v>
      </c>
      <c r="B333" s="57" t="s">
        <v>18</v>
      </c>
      <c r="C333" s="57" t="s">
        <v>21</v>
      </c>
      <c r="D333" s="57" t="s">
        <v>18</v>
      </c>
      <c r="E333" s="57" t="s">
        <v>21</v>
      </c>
      <c r="F333" s="57" t="s">
        <v>18</v>
      </c>
      <c r="G333" s="57" t="s">
        <v>22</v>
      </c>
      <c r="H333" s="57" t="s">
        <v>19</v>
      </c>
      <c r="I333" s="57" t="s">
        <v>24</v>
      </c>
      <c r="J333" s="57" t="s">
        <v>18</v>
      </c>
      <c r="K333" s="57" t="s">
        <v>18</v>
      </c>
      <c r="L333" s="57" t="s">
        <v>20</v>
      </c>
      <c r="M333" s="57" t="s">
        <v>37</v>
      </c>
      <c r="N333" s="57" t="s">
        <v>18</v>
      </c>
      <c r="O333" s="57" t="s">
        <v>24</v>
      </c>
      <c r="P333" s="57" t="s">
        <v>22</v>
      </c>
      <c r="Q333" s="57" t="s">
        <v>46</v>
      </c>
      <c r="R333" s="149"/>
      <c r="S333" s="66" t="s">
        <v>0</v>
      </c>
      <c r="T333" s="1">
        <v>166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2">
        <f t="shared" si="84"/>
        <v>166</v>
      </c>
      <c r="AB333" s="61">
        <v>2018</v>
      </c>
      <c r="AC333" s="9"/>
      <c r="AD333" s="104"/>
      <c r="AE333" s="104"/>
    </row>
    <row r="334" spans="1:31" ht="16.350000000000001" hidden="1" customHeight="1" x14ac:dyDescent="0.25">
      <c r="A334" s="57" t="s">
        <v>18</v>
      </c>
      <c r="B334" s="57" t="s">
        <v>18</v>
      </c>
      <c r="C334" s="57" t="s">
        <v>21</v>
      </c>
      <c r="D334" s="57" t="s">
        <v>18</v>
      </c>
      <c r="E334" s="57" t="s">
        <v>21</v>
      </c>
      <c r="F334" s="57" t="s">
        <v>18</v>
      </c>
      <c r="G334" s="57" t="s">
        <v>22</v>
      </c>
      <c r="H334" s="57" t="s">
        <v>19</v>
      </c>
      <c r="I334" s="57" t="s">
        <v>24</v>
      </c>
      <c r="J334" s="57" t="s">
        <v>18</v>
      </c>
      <c r="K334" s="57" t="s">
        <v>18</v>
      </c>
      <c r="L334" s="57" t="s">
        <v>20</v>
      </c>
      <c r="M334" s="57" t="s">
        <v>37</v>
      </c>
      <c r="N334" s="57" t="s">
        <v>18</v>
      </c>
      <c r="O334" s="57" t="s">
        <v>24</v>
      </c>
      <c r="P334" s="57" t="s">
        <v>22</v>
      </c>
      <c r="Q334" s="57" t="s">
        <v>39</v>
      </c>
      <c r="R334" s="149"/>
      <c r="S334" s="66" t="s">
        <v>0</v>
      </c>
      <c r="T334" s="1">
        <v>464.4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2">
        <f t="shared" si="84"/>
        <v>464.4</v>
      </c>
      <c r="AB334" s="61">
        <v>2018</v>
      </c>
      <c r="AC334" s="9"/>
      <c r="AD334" s="104"/>
      <c r="AE334" s="104"/>
    </row>
    <row r="335" spans="1:31" ht="37.15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83" t="s">
        <v>229</v>
      </c>
      <c r="S335" s="87" t="s">
        <v>182</v>
      </c>
      <c r="T335" s="3">
        <v>930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84"/>
        <v>930</v>
      </c>
      <c r="AB335" s="41">
        <v>2018</v>
      </c>
      <c r="AC335" s="9"/>
      <c r="AD335" s="104"/>
      <c r="AE335" s="104"/>
    </row>
    <row r="336" spans="1:31" ht="22.15" hidden="1" customHeight="1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149" t="s">
        <v>230</v>
      </c>
      <c r="S336" s="66" t="s">
        <v>0</v>
      </c>
      <c r="T336" s="1">
        <f>SUM(T337:T341)</f>
        <v>1421.6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2">
        <f t="shared" si="84"/>
        <v>1421.6</v>
      </c>
      <c r="AB336" s="61">
        <v>2018</v>
      </c>
      <c r="AC336" s="9"/>
      <c r="AD336" s="104"/>
      <c r="AE336" s="104"/>
    </row>
    <row r="337" spans="1:31" ht="16.350000000000001" hidden="1" customHeight="1" x14ac:dyDescent="0.25">
      <c r="A337" s="57" t="s">
        <v>18</v>
      </c>
      <c r="B337" s="57" t="s">
        <v>18</v>
      </c>
      <c r="C337" s="57" t="s">
        <v>21</v>
      </c>
      <c r="D337" s="57" t="s">
        <v>18</v>
      </c>
      <c r="E337" s="57" t="s">
        <v>21</v>
      </c>
      <c r="F337" s="57" t="s">
        <v>18</v>
      </c>
      <c r="G337" s="57" t="s">
        <v>22</v>
      </c>
      <c r="H337" s="57" t="s">
        <v>19</v>
      </c>
      <c r="I337" s="57" t="s">
        <v>24</v>
      </c>
      <c r="J337" s="57" t="s">
        <v>18</v>
      </c>
      <c r="K337" s="57" t="s">
        <v>18</v>
      </c>
      <c r="L337" s="57" t="s">
        <v>20</v>
      </c>
      <c r="M337" s="57" t="s">
        <v>19</v>
      </c>
      <c r="N337" s="57" t="s">
        <v>18</v>
      </c>
      <c r="O337" s="57" t="s">
        <v>24</v>
      </c>
      <c r="P337" s="57" t="s">
        <v>22</v>
      </c>
      <c r="Q337" s="57" t="s">
        <v>45</v>
      </c>
      <c r="R337" s="149"/>
      <c r="S337" s="66" t="s">
        <v>0</v>
      </c>
      <c r="T337" s="1">
        <v>400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2">
        <f t="shared" si="84"/>
        <v>400</v>
      </c>
      <c r="AB337" s="61">
        <v>2018</v>
      </c>
      <c r="AC337" s="9"/>
      <c r="AD337" s="104"/>
      <c r="AE337" s="104"/>
    </row>
    <row r="338" spans="1:31" ht="16.350000000000001" hidden="1" customHeight="1" x14ac:dyDescent="0.25">
      <c r="A338" s="57" t="s">
        <v>18</v>
      </c>
      <c r="B338" s="57" t="s">
        <v>18</v>
      </c>
      <c r="C338" s="57" t="s">
        <v>21</v>
      </c>
      <c r="D338" s="57" t="s">
        <v>18</v>
      </c>
      <c r="E338" s="57" t="s">
        <v>21</v>
      </c>
      <c r="F338" s="57" t="s">
        <v>18</v>
      </c>
      <c r="G338" s="57" t="s">
        <v>22</v>
      </c>
      <c r="H338" s="57" t="s">
        <v>19</v>
      </c>
      <c r="I338" s="57" t="s">
        <v>24</v>
      </c>
      <c r="J338" s="57" t="s">
        <v>18</v>
      </c>
      <c r="K338" s="57" t="s">
        <v>18</v>
      </c>
      <c r="L338" s="57" t="s">
        <v>20</v>
      </c>
      <c r="M338" s="57" t="s">
        <v>19</v>
      </c>
      <c r="N338" s="57" t="s">
        <v>18</v>
      </c>
      <c r="O338" s="57" t="s">
        <v>43</v>
      </c>
      <c r="P338" s="57" t="s">
        <v>22</v>
      </c>
      <c r="Q338" s="57" t="s">
        <v>185</v>
      </c>
      <c r="R338" s="149"/>
      <c r="S338" s="66" t="s">
        <v>0</v>
      </c>
      <c r="T338" s="1">
        <v>50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2">
        <f>SUM(T338:Y338)</f>
        <v>50</v>
      </c>
      <c r="AB338" s="61">
        <v>2018</v>
      </c>
      <c r="AC338" s="9"/>
      <c r="AD338" s="104"/>
      <c r="AE338" s="104"/>
    </row>
    <row r="339" spans="1:31" ht="16.350000000000001" hidden="1" customHeight="1" x14ac:dyDescent="0.25">
      <c r="A339" s="57" t="s">
        <v>18</v>
      </c>
      <c r="B339" s="57" t="s">
        <v>18</v>
      </c>
      <c r="C339" s="57" t="s">
        <v>21</v>
      </c>
      <c r="D339" s="57" t="s">
        <v>18</v>
      </c>
      <c r="E339" s="57" t="s">
        <v>21</v>
      </c>
      <c r="F339" s="57" t="s">
        <v>18</v>
      </c>
      <c r="G339" s="57" t="s">
        <v>22</v>
      </c>
      <c r="H339" s="57" t="s">
        <v>19</v>
      </c>
      <c r="I339" s="57" t="s">
        <v>24</v>
      </c>
      <c r="J339" s="57" t="s">
        <v>18</v>
      </c>
      <c r="K339" s="57" t="s">
        <v>18</v>
      </c>
      <c r="L339" s="57" t="s">
        <v>20</v>
      </c>
      <c r="M339" s="57" t="s">
        <v>37</v>
      </c>
      <c r="N339" s="57" t="s">
        <v>18</v>
      </c>
      <c r="O339" s="57" t="s">
        <v>24</v>
      </c>
      <c r="P339" s="57" t="s">
        <v>22</v>
      </c>
      <c r="Q339" s="57" t="s">
        <v>46</v>
      </c>
      <c r="R339" s="149"/>
      <c r="S339" s="66" t="s">
        <v>0</v>
      </c>
      <c r="T339" s="1">
        <v>83.1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62">
        <f t="shared" si="84"/>
        <v>83.1</v>
      </c>
      <c r="AB339" s="61">
        <v>2018</v>
      </c>
      <c r="AC339" s="9"/>
      <c r="AD339" s="104"/>
      <c r="AE339" s="104"/>
    </row>
    <row r="340" spans="1:31" ht="16.350000000000001" hidden="1" customHeight="1" x14ac:dyDescent="0.25">
      <c r="A340" s="57" t="s">
        <v>18</v>
      </c>
      <c r="B340" s="57" t="s">
        <v>18</v>
      </c>
      <c r="C340" s="57" t="s">
        <v>21</v>
      </c>
      <c r="D340" s="57" t="s">
        <v>18</v>
      </c>
      <c r="E340" s="57" t="s">
        <v>21</v>
      </c>
      <c r="F340" s="57" t="s">
        <v>18</v>
      </c>
      <c r="G340" s="57" t="s">
        <v>22</v>
      </c>
      <c r="H340" s="57" t="s">
        <v>19</v>
      </c>
      <c r="I340" s="57" t="s">
        <v>24</v>
      </c>
      <c r="J340" s="57" t="s">
        <v>18</v>
      </c>
      <c r="K340" s="57" t="s">
        <v>18</v>
      </c>
      <c r="L340" s="57" t="s">
        <v>20</v>
      </c>
      <c r="M340" s="57" t="s">
        <v>37</v>
      </c>
      <c r="N340" s="57" t="s">
        <v>18</v>
      </c>
      <c r="O340" s="57" t="s">
        <v>24</v>
      </c>
      <c r="P340" s="57" t="s">
        <v>22</v>
      </c>
      <c r="Q340" s="57" t="s">
        <v>46</v>
      </c>
      <c r="R340" s="149"/>
      <c r="S340" s="66" t="s">
        <v>0</v>
      </c>
      <c r="T340" s="1">
        <v>143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2">
        <f t="shared" si="84"/>
        <v>143</v>
      </c>
      <c r="AB340" s="61">
        <v>2018</v>
      </c>
      <c r="AC340" s="9"/>
      <c r="AD340" s="104"/>
      <c r="AE340" s="104"/>
    </row>
    <row r="341" spans="1:31" ht="16.350000000000001" hidden="1" customHeight="1" x14ac:dyDescent="0.25">
      <c r="A341" s="57" t="s">
        <v>18</v>
      </c>
      <c r="B341" s="57" t="s">
        <v>18</v>
      </c>
      <c r="C341" s="57" t="s">
        <v>21</v>
      </c>
      <c r="D341" s="57" t="s">
        <v>18</v>
      </c>
      <c r="E341" s="57" t="s">
        <v>21</v>
      </c>
      <c r="F341" s="57" t="s">
        <v>18</v>
      </c>
      <c r="G341" s="57" t="s">
        <v>22</v>
      </c>
      <c r="H341" s="57" t="s">
        <v>19</v>
      </c>
      <c r="I341" s="57" t="s">
        <v>24</v>
      </c>
      <c r="J341" s="57" t="s">
        <v>18</v>
      </c>
      <c r="K341" s="57" t="s">
        <v>18</v>
      </c>
      <c r="L341" s="57" t="s">
        <v>20</v>
      </c>
      <c r="M341" s="57" t="s">
        <v>37</v>
      </c>
      <c r="N341" s="57" t="s">
        <v>18</v>
      </c>
      <c r="O341" s="57" t="s">
        <v>24</v>
      </c>
      <c r="P341" s="57" t="s">
        <v>22</v>
      </c>
      <c r="Q341" s="57" t="s">
        <v>39</v>
      </c>
      <c r="R341" s="149"/>
      <c r="S341" s="66" t="s">
        <v>0</v>
      </c>
      <c r="T341" s="1">
        <v>745.5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2">
        <f t="shared" si="84"/>
        <v>745.5</v>
      </c>
      <c r="AB341" s="61">
        <v>2018</v>
      </c>
      <c r="AC341" s="9"/>
      <c r="AD341" s="104"/>
      <c r="AE341" s="104"/>
    </row>
    <row r="342" spans="1:31" ht="36.6" hidden="1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3" t="s">
        <v>231</v>
      </c>
      <c r="S342" s="87" t="s">
        <v>182</v>
      </c>
      <c r="T342" s="3">
        <v>1070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6">
        <f t="shared" si="84"/>
        <v>1070</v>
      </c>
      <c r="AB342" s="41">
        <v>2018</v>
      </c>
      <c r="AC342" s="9"/>
      <c r="AD342" s="104"/>
      <c r="AE342" s="104"/>
    </row>
    <row r="343" spans="1:31" ht="19.899999999999999" hidden="1" customHeight="1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149" t="s">
        <v>232</v>
      </c>
      <c r="S343" s="66" t="s">
        <v>0</v>
      </c>
      <c r="T343" s="1">
        <f>SUM(T344:T348)</f>
        <v>263.89999999999998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2">
        <f t="shared" si="84"/>
        <v>263.89999999999998</v>
      </c>
      <c r="AB343" s="61">
        <v>2018</v>
      </c>
      <c r="AC343" s="9"/>
      <c r="AD343" s="104"/>
      <c r="AE343" s="104"/>
    </row>
    <row r="344" spans="1:31" ht="16.350000000000001" hidden="1" customHeight="1" x14ac:dyDescent="0.25">
      <c r="A344" s="57" t="s">
        <v>18</v>
      </c>
      <c r="B344" s="57" t="s">
        <v>18</v>
      </c>
      <c r="C344" s="57" t="s">
        <v>21</v>
      </c>
      <c r="D344" s="57" t="s">
        <v>18</v>
      </c>
      <c r="E344" s="57" t="s">
        <v>21</v>
      </c>
      <c r="F344" s="57" t="s">
        <v>18</v>
      </c>
      <c r="G344" s="57" t="s">
        <v>22</v>
      </c>
      <c r="H344" s="57" t="s">
        <v>19</v>
      </c>
      <c r="I344" s="57" t="s">
        <v>24</v>
      </c>
      <c r="J344" s="57" t="s">
        <v>18</v>
      </c>
      <c r="K344" s="57" t="s">
        <v>18</v>
      </c>
      <c r="L344" s="57" t="s">
        <v>20</v>
      </c>
      <c r="M344" s="57" t="s">
        <v>19</v>
      </c>
      <c r="N344" s="57" t="s">
        <v>18</v>
      </c>
      <c r="O344" s="57" t="s">
        <v>24</v>
      </c>
      <c r="P344" s="57" t="s">
        <v>22</v>
      </c>
      <c r="Q344" s="57" t="s">
        <v>45</v>
      </c>
      <c r="R344" s="149"/>
      <c r="S344" s="66" t="s">
        <v>0</v>
      </c>
      <c r="T344" s="1">
        <v>105.5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2">
        <f t="shared" si="84"/>
        <v>105.5</v>
      </c>
      <c r="AB344" s="61">
        <v>2018</v>
      </c>
      <c r="AC344" s="9"/>
      <c r="AD344" s="104"/>
      <c r="AE344" s="104"/>
    </row>
    <row r="345" spans="1:31" ht="16.350000000000001" hidden="1" customHeight="1" x14ac:dyDescent="0.25">
      <c r="A345" s="57" t="s">
        <v>18</v>
      </c>
      <c r="B345" s="57" t="s">
        <v>18</v>
      </c>
      <c r="C345" s="57" t="s">
        <v>21</v>
      </c>
      <c r="D345" s="57" t="s">
        <v>18</v>
      </c>
      <c r="E345" s="57" t="s">
        <v>21</v>
      </c>
      <c r="F345" s="57" t="s">
        <v>18</v>
      </c>
      <c r="G345" s="57" t="s">
        <v>22</v>
      </c>
      <c r="H345" s="57" t="s">
        <v>19</v>
      </c>
      <c r="I345" s="57" t="s">
        <v>24</v>
      </c>
      <c r="J345" s="57" t="s">
        <v>18</v>
      </c>
      <c r="K345" s="57" t="s">
        <v>18</v>
      </c>
      <c r="L345" s="57" t="s">
        <v>20</v>
      </c>
      <c r="M345" s="57" t="s">
        <v>19</v>
      </c>
      <c r="N345" s="57" t="s">
        <v>18</v>
      </c>
      <c r="O345" s="57" t="s">
        <v>43</v>
      </c>
      <c r="P345" s="57" t="s">
        <v>22</v>
      </c>
      <c r="Q345" s="57" t="s">
        <v>185</v>
      </c>
      <c r="R345" s="149"/>
      <c r="S345" s="66" t="s">
        <v>0</v>
      </c>
      <c r="T345" s="1">
        <v>20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2">
        <f t="shared" si="84"/>
        <v>20</v>
      </c>
      <c r="AB345" s="61">
        <v>2018</v>
      </c>
      <c r="AC345" s="9"/>
      <c r="AD345" s="104"/>
      <c r="AE345" s="104"/>
    </row>
    <row r="346" spans="1:31" ht="16.350000000000001" hidden="1" customHeight="1" x14ac:dyDescent="0.25">
      <c r="A346" s="57" t="s">
        <v>18</v>
      </c>
      <c r="B346" s="57" t="s">
        <v>18</v>
      </c>
      <c r="C346" s="57" t="s">
        <v>21</v>
      </c>
      <c r="D346" s="57" t="s">
        <v>18</v>
      </c>
      <c r="E346" s="57" t="s">
        <v>21</v>
      </c>
      <c r="F346" s="57" t="s">
        <v>18</v>
      </c>
      <c r="G346" s="57" t="s">
        <v>22</v>
      </c>
      <c r="H346" s="57" t="s">
        <v>19</v>
      </c>
      <c r="I346" s="57" t="s">
        <v>24</v>
      </c>
      <c r="J346" s="57" t="s">
        <v>18</v>
      </c>
      <c r="K346" s="57" t="s">
        <v>18</v>
      </c>
      <c r="L346" s="57" t="s">
        <v>20</v>
      </c>
      <c r="M346" s="57" t="s">
        <v>37</v>
      </c>
      <c r="N346" s="57" t="s">
        <v>18</v>
      </c>
      <c r="O346" s="57" t="s">
        <v>24</v>
      </c>
      <c r="P346" s="57" t="s">
        <v>22</v>
      </c>
      <c r="Q346" s="57" t="s">
        <v>46</v>
      </c>
      <c r="R346" s="149"/>
      <c r="S346" s="66" t="s">
        <v>0</v>
      </c>
      <c r="T346" s="1">
        <v>19.399999999999999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62">
        <f t="shared" si="84"/>
        <v>19.399999999999999</v>
      </c>
      <c r="AB346" s="61">
        <v>2018</v>
      </c>
      <c r="AC346" s="9"/>
      <c r="AD346" s="104"/>
      <c r="AE346" s="104"/>
    </row>
    <row r="347" spans="1:31" ht="16.350000000000001" hidden="1" customHeight="1" x14ac:dyDescent="0.25">
      <c r="A347" s="57" t="s">
        <v>18</v>
      </c>
      <c r="B347" s="57" t="s">
        <v>18</v>
      </c>
      <c r="C347" s="57" t="s">
        <v>21</v>
      </c>
      <c r="D347" s="57" t="s">
        <v>18</v>
      </c>
      <c r="E347" s="57" t="s">
        <v>21</v>
      </c>
      <c r="F347" s="57" t="s">
        <v>18</v>
      </c>
      <c r="G347" s="57" t="s">
        <v>22</v>
      </c>
      <c r="H347" s="57" t="s">
        <v>19</v>
      </c>
      <c r="I347" s="57" t="s">
        <v>24</v>
      </c>
      <c r="J347" s="57" t="s">
        <v>18</v>
      </c>
      <c r="K347" s="57" t="s">
        <v>18</v>
      </c>
      <c r="L347" s="57" t="s">
        <v>20</v>
      </c>
      <c r="M347" s="57" t="s">
        <v>37</v>
      </c>
      <c r="N347" s="57" t="s">
        <v>18</v>
      </c>
      <c r="O347" s="57" t="s">
        <v>24</v>
      </c>
      <c r="P347" s="57" t="s">
        <v>22</v>
      </c>
      <c r="Q347" s="57" t="s">
        <v>46</v>
      </c>
      <c r="R347" s="149"/>
      <c r="S347" s="66" t="s">
        <v>0</v>
      </c>
      <c r="T347" s="1">
        <v>39.6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2">
        <f t="shared" si="84"/>
        <v>39.6</v>
      </c>
      <c r="AB347" s="61">
        <v>2018</v>
      </c>
      <c r="AC347" s="9"/>
      <c r="AD347" s="104"/>
      <c r="AE347" s="104"/>
    </row>
    <row r="348" spans="1:31" ht="16.350000000000001" hidden="1" customHeight="1" x14ac:dyDescent="0.25">
      <c r="A348" s="57" t="s">
        <v>18</v>
      </c>
      <c r="B348" s="57" t="s">
        <v>18</v>
      </c>
      <c r="C348" s="57" t="s">
        <v>21</v>
      </c>
      <c r="D348" s="57" t="s">
        <v>18</v>
      </c>
      <c r="E348" s="57" t="s">
        <v>21</v>
      </c>
      <c r="F348" s="57" t="s">
        <v>18</v>
      </c>
      <c r="G348" s="57" t="s">
        <v>22</v>
      </c>
      <c r="H348" s="57" t="s">
        <v>19</v>
      </c>
      <c r="I348" s="57" t="s">
        <v>24</v>
      </c>
      <c r="J348" s="57" t="s">
        <v>18</v>
      </c>
      <c r="K348" s="57" t="s">
        <v>18</v>
      </c>
      <c r="L348" s="57" t="s">
        <v>20</v>
      </c>
      <c r="M348" s="57" t="s">
        <v>37</v>
      </c>
      <c r="N348" s="57" t="s">
        <v>18</v>
      </c>
      <c r="O348" s="57" t="s">
        <v>24</v>
      </c>
      <c r="P348" s="57" t="s">
        <v>22</v>
      </c>
      <c r="Q348" s="57" t="s">
        <v>39</v>
      </c>
      <c r="R348" s="149"/>
      <c r="S348" s="66" t="s">
        <v>0</v>
      </c>
      <c r="T348" s="1">
        <v>79.400000000000006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2">
        <f t="shared" si="84"/>
        <v>79.400000000000006</v>
      </c>
      <c r="AB348" s="61">
        <v>2018</v>
      </c>
      <c r="AC348" s="9"/>
      <c r="AD348" s="104"/>
      <c r="AE348" s="104"/>
    </row>
    <row r="349" spans="1:31" ht="36.6" hidden="1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83" t="s">
        <v>233</v>
      </c>
      <c r="S349" s="87" t="s">
        <v>8</v>
      </c>
      <c r="T349" s="44">
        <v>5</v>
      </c>
      <c r="U349" s="44">
        <v>0</v>
      </c>
      <c r="V349" s="44">
        <v>0</v>
      </c>
      <c r="W349" s="44">
        <v>0</v>
      </c>
      <c r="X349" s="44">
        <v>0</v>
      </c>
      <c r="Y349" s="44">
        <v>0</v>
      </c>
      <c r="Z349" s="44">
        <v>0</v>
      </c>
      <c r="AA349" s="6">
        <f t="shared" si="84"/>
        <v>5</v>
      </c>
      <c r="AB349" s="41">
        <v>2018</v>
      </c>
      <c r="AC349" s="9"/>
      <c r="AD349" s="104"/>
      <c r="AE349" s="104"/>
    </row>
    <row r="350" spans="1:31" ht="15.6" hidden="1" customHeight="1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149" t="s">
        <v>234</v>
      </c>
      <c r="S350" s="66" t="s">
        <v>0</v>
      </c>
      <c r="T350" s="1">
        <f>SUM(T351:T355)</f>
        <v>490.3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2">
        <f t="shared" si="84"/>
        <v>490.3</v>
      </c>
      <c r="AB350" s="61">
        <v>2018</v>
      </c>
      <c r="AC350" s="9"/>
      <c r="AD350" s="104"/>
      <c r="AE350" s="104"/>
    </row>
    <row r="351" spans="1:31" ht="15.6" hidden="1" customHeight="1" x14ac:dyDescent="0.25">
      <c r="A351" s="57" t="s">
        <v>18</v>
      </c>
      <c r="B351" s="57" t="s">
        <v>18</v>
      </c>
      <c r="C351" s="57" t="s">
        <v>21</v>
      </c>
      <c r="D351" s="57" t="s">
        <v>18</v>
      </c>
      <c r="E351" s="57" t="s">
        <v>24</v>
      </c>
      <c r="F351" s="57" t="s">
        <v>18</v>
      </c>
      <c r="G351" s="57" t="s">
        <v>43</v>
      </c>
      <c r="H351" s="57" t="s">
        <v>19</v>
      </c>
      <c r="I351" s="57" t="s">
        <v>24</v>
      </c>
      <c r="J351" s="57" t="s">
        <v>18</v>
      </c>
      <c r="K351" s="57" t="s">
        <v>18</v>
      </c>
      <c r="L351" s="57" t="s">
        <v>20</v>
      </c>
      <c r="M351" s="57" t="s">
        <v>19</v>
      </c>
      <c r="N351" s="57" t="s">
        <v>18</v>
      </c>
      <c r="O351" s="57" t="s">
        <v>24</v>
      </c>
      <c r="P351" s="57" t="s">
        <v>22</v>
      </c>
      <c r="Q351" s="57" t="s">
        <v>45</v>
      </c>
      <c r="R351" s="149"/>
      <c r="S351" s="66" t="s">
        <v>0</v>
      </c>
      <c r="T351" s="1">
        <v>196.1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62">
        <f t="shared" si="84"/>
        <v>196.1</v>
      </c>
      <c r="AB351" s="61">
        <v>2018</v>
      </c>
      <c r="AC351" s="9"/>
      <c r="AD351" s="104"/>
      <c r="AE351" s="104"/>
    </row>
    <row r="352" spans="1:31" ht="15.6" hidden="1" customHeight="1" x14ac:dyDescent="0.25">
      <c r="A352" s="57" t="s">
        <v>18</v>
      </c>
      <c r="B352" s="57" t="s">
        <v>18</v>
      </c>
      <c r="C352" s="57" t="s">
        <v>21</v>
      </c>
      <c r="D352" s="57" t="s">
        <v>18</v>
      </c>
      <c r="E352" s="57" t="s">
        <v>24</v>
      </c>
      <c r="F352" s="57" t="s">
        <v>18</v>
      </c>
      <c r="G352" s="57" t="s">
        <v>43</v>
      </c>
      <c r="H352" s="57" t="s">
        <v>19</v>
      </c>
      <c r="I352" s="57" t="s">
        <v>24</v>
      </c>
      <c r="J352" s="57" t="s">
        <v>18</v>
      </c>
      <c r="K352" s="57" t="s">
        <v>18</v>
      </c>
      <c r="L352" s="57" t="s">
        <v>20</v>
      </c>
      <c r="M352" s="57" t="s">
        <v>19</v>
      </c>
      <c r="N352" s="57" t="s">
        <v>18</v>
      </c>
      <c r="O352" s="57" t="s">
        <v>43</v>
      </c>
      <c r="P352" s="57" t="s">
        <v>22</v>
      </c>
      <c r="Q352" s="57" t="s">
        <v>185</v>
      </c>
      <c r="R352" s="149"/>
      <c r="S352" s="66" t="s">
        <v>0</v>
      </c>
      <c r="T352" s="1">
        <v>30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2">
        <f>SUM(T352:Y352)</f>
        <v>30</v>
      </c>
      <c r="AB352" s="61">
        <v>2018</v>
      </c>
      <c r="AC352" s="9"/>
      <c r="AD352" s="104"/>
      <c r="AE352" s="104"/>
    </row>
    <row r="353" spans="1:31" ht="15.6" hidden="1" customHeight="1" x14ac:dyDescent="0.25">
      <c r="A353" s="57" t="s">
        <v>18</v>
      </c>
      <c r="B353" s="57" t="s">
        <v>18</v>
      </c>
      <c r="C353" s="57" t="s">
        <v>21</v>
      </c>
      <c r="D353" s="57" t="s">
        <v>18</v>
      </c>
      <c r="E353" s="57" t="s">
        <v>24</v>
      </c>
      <c r="F353" s="57" t="s">
        <v>18</v>
      </c>
      <c r="G353" s="57" t="s">
        <v>43</v>
      </c>
      <c r="H353" s="57" t="s">
        <v>19</v>
      </c>
      <c r="I353" s="57" t="s">
        <v>24</v>
      </c>
      <c r="J353" s="57" t="s">
        <v>18</v>
      </c>
      <c r="K353" s="57" t="s">
        <v>18</v>
      </c>
      <c r="L353" s="57" t="s">
        <v>20</v>
      </c>
      <c r="M353" s="57" t="s">
        <v>37</v>
      </c>
      <c r="N353" s="57" t="s">
        <v>18</v>
      </c>
      <c r="O353" s="57" t="s">
        <v>24</v>
      </c>
      <c r="P353" s="57" t="s">
        <v>22</v>
      </c>
      <c r="Q353" s="57" t="s">
        <v>46</v>
      </c>
      <c r="R353" s="149"/>
      <c r="S353" s="66" t="s">
        <v>0</v>
      </c>
      <c r="T353" s="1">
        <v>33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62">
        <f t="shared" si="84"/>
        <v>33</v>
      </c>
      <c r="AB353" s="61">
        <v>2018</v>
      </c>
      <c r="AC353" s="9"/>
      <c r="AD353" s="104"/>
      <c r="AE353" s="104"/>
    </row>
    <row r="354" spans="1:31" ht="15.6" hidden="1" customHeight="1" x14ac:dyDescent="0.25">
      <c r="A354" s="57" t="s">
        <v>18</v>
      </c>
      <c r="B354" s="57" t="s">
        <v>18</v>
      </c>
      <c r="C354" s="57" t="s">
        <v>21</v>
      </c>
      <c r="D354" s="57" t="s">
        <v>18</v>
      </c>
      <c r="E354" s="57" t="s">
        <v>24</v>
      </c>
      <c r="F354" s="57" t="s">
        <v>18</v>
      </c>
      <c r="G354" s="57" t="s">
        <v>43</v>
      </c>
      <c r="H354" s="57" t="s">
        <v>19</v>
      </c>
      <c r="I354" s="57" t="s">
        <v>24</v>
      </c>
      <c r="J354" s="57" t="s">
        <v>18</v>
      </c>
      <c r="K354" s="57" t="s">
        <v>18</v>
      </c>
      <c r="L354" s="57" t="s">
        <v>20</v>
      </c>
      <c r="M354" s="57" t="s">
        <v>37</v>
      </c>
      <c r="N354" s="57" t="s">
        <v>18</v>
      </c>
      <c r="O354" s="57" t="s">
        <v>24</v>
      </c>
      <c r="P354" s="57" t="s">
        <v>22</v>
      </c>
      <c r="Q354" s="57" t="s">
        <v>46</v>
      </c>
      <c r="R354" s="149"/>
      <c r="S354" s="66" t="s">
        <v>0</v>
      </c>
      <c r="T354" s="1">
        <v>102.9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2">
        <f t="shared" si="84"/>
        <v>102.9</v>
      </c>
      <c r="AB354" s="61">
        <v>2018</v>
      </c>
      <c r="AC354" s="9"/>
      <c r="AD354" s="104"/>
      <c r="AE354" s="104"/>
    </row>
    <row r="355" spans="1:31" ht="15.6" hidden="1" customHeight="1" x14ac:dyDescent="0.25">
      <c r="A355" s="57" t="s">
        <v>18</v>
      </c>
      <c r="B355" s="57" t="s">
        <v>18</v>
      </c>
      <c r="C355" s="57" t="s">
        <v>21</v>
      </c>
      <c r="D355" s="57" t="s">
        <v>18</v>
      </c>
      <c r="E355" s="57" t="s">
        <v>24</v>
      </c>
      <c r="F355" s="57" t="s">
        <v>18</v>
      </c>
      <c r="G355" s="57" t="s">
        <v>43</v>
      </c>
      <c r="H355" s="57" t="s">
        <v>19</v>
      </c>
      <c r="I355" s="57" t="s">
        <v>24</v>
      </c>
      <c r="J355" s="57" t="s">
        <v>18</v>
      </c>
      <c r="K355" s="57" t="s">
        <v>18</v>
      </c>
      <c r="L355" s="57" t="s">
        <v>20</v>
      </c>
      <c r="M355" s="57" t="s">
        <v>37</v>
      </c>
      <c r="N355" s="57" t="s">
        <v>18</v>
      </c>
      <c r="O355" s="57" t="s">
        <v>24</v>
      </c>
      <c r="P355" s="57" t="s">
        <v>22</v>
      </c>
      <c r="Q355" s="57" t="s">
        <v>39</v>
      </c>
      <c r="R355" s="149"/>
      <c r="S355" s="66" t="s">
        <v>0</v>
      </c>
      <c r="T355" s="1">
        <v>128.30000000000001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2">
        <f t="shared" si="84"/>
        <v>128.30000000000001</v>
      </c>
      <c r="AB355" s="61">
        <v>2018</v>
      </c>
      <c r="AC355" s="9"/>
      <c r="AD355" s="104"/>
      <c r="AE355" s="104"/>
    </row>
    <row r="356" spans="1:31" ht="31.15" hidden="1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81" t="s">
        <v>235</v>
      </c>
      <c r="S356" s="92" t="s">
        <v>187</v>
      </c>
      <c r="T356" s="3">
        <v>180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84"/>
        <v>180</v>
      </c>
      <c r="AB356" s="41">
        <v>2018</v>
      </c>
      <c r="AC356" s="9"/>
      <c r="AD356" s="104"/>
      <c r="AE356" s="104"/>
    </row>
    <row r="357" spans="1:31" ht="15.6" hidden="1" customHeight="1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149" t="s">
        <v>236</v>
      </c>
      <c r="S357" s="66" t="s">
        <v>0</v>
      </c>
      <c r="T357" s="1">
        <f>SUM(T358:T362)</f>
        <v>1177.5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2">
        <f t="shared" si="84"/>
        <v>1177.5</v>
      </c>
      <c r="AB357" s="61">
        <v>2018</v>
      </c>
      <c r="AC357" s="9"/>
      <c r="AD357" s="104"/>
      <c r="AE357" s="104"/>
    </row>
    <row r="358" spans="1:31" ht="15.6" hidden="1" customHeight="1" x14ac:dyDescent="0.25">
      <c r="A358" s="57" t="s">
        <v>18</v>
      </c>
      <c r="B358" s="57" t="s">
        <v>18</v>
      </c>
      <c r="C358" s="57" t="s">
        <v>21</v>
      </c>
      <c r="D358" s="57" t="s">
        <v>18</v>
      </c>
      <c r="E358" s="57" t="s">
        <v>21</v>
      </c>
      <c r="F358" s="57" t="s">
        <v>18</v>
      </c>
      <c r="G358" s="57" t="s">
        <v>22</v>
      </c>
      <c r="H358" s="57" t="s">
        <v>19</v>
      </c>
      <c r="I358" s="57" t="s">
        <v>24</v>
      </c>
      <c r="J358" s="57" t="s">
        <v>18</v>
      </c>
      <c r="K358" s="57" t="s">
        <v>18</v>
      </c>
      <c r="L358" s="57" t="s">
        <v>20</v>
      </c>
      <c r="M358" s="57" t="s">
        <v>19</v>
      </c>
      <c r="N358" s="57" t="s">
        <v>18</v>
      </c>
      <c r="O358" s="57" t="s">
        <v>24</v>
      </c>
      <c r="P358" s="57" t="s">
        <v>22</v>
      </c>
      <c r="Q358" s="57" t="s">
        <v>45</v>
      </c>
      <c r="R358" s="149"/>
      <c r="S358" s="66" t="s">
        <v>0</v>
      </c>
      <c r="T358" s="1">
        <v>400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2">
        <f t="shared" si="84"/>
        <v>400</v>
      </c>
      <c r="AB358" s="61">
        <v>2018</v>
      </c>
      <c r="AC358" s="9"/>
      <c r="AD358" s="104"/>
      <c r="AE358" s="104"/>
    </row>
    <row r="359" spans="1:31" ht="15.6" hidden="1" customHeight="1" x14ac:dyDescent="0.25">
      <c r="A359" s="57" t="s">
        <v>18</v>
      </c>
      <c r="B359" s="57" t="s">
        <v>18</v>
      </c>
      <c r="C359" s="57" t="s">
        <v>21</v>
      </c>
      <c r="D359" s="57" t="s">
        <v>18</v>
      </c>
      <c r="E359" s="57" t="s">
        <v>21</v>
      </c>
      <c r="F359" s="57" t="s">
        <v>18</v>
      </c>
      <c r="G359" s="57" t="s">
        <v>22</v>
      </c>
      <c r="H359" s="57" t="s">
        <v>19</v>
      </c>
      <c r="I359" s="57" t="s">
        <v>24</v>
      </c>
      <c r="J359" s="57" t="s">
        <v>18</v>
      </c>
      <c r="K359" s="57" t="s">
        <v>18</v>
      </c>
      <c r="L359" s="57" t="s">
        <v>20</v>
      </c>
      <c r="M359" s="57" t="s">
        <v>19</v>
      </c>
      <c r="N359" s="57" t="s">
        <v>18</v>
      </c>
      <c r="O359" s="57" t="s">
        <v>43</v>
      </c>
      <c r="P359" s="57" t="s">
        <v>22</v>
      </c>
      <c r="Q359" s="57" t="s">
        <v>185</v>
      </c>
      <c r="R359" s="149"/>
      <c r="S359" s="66" t="s">
        <v>0</v>
      </c>
      <c r="T359" s="1">
        <v>45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2">
        <f t="shared" si="84"/>
        <v>45</v>
      </c>
      <c r="AB359" s="61">
        <v>2018</v>
      </c>
      <c r="AC359" s="9"/>
      <c r="AD359" s="104"/>
      <c r="AE359" s="104"/>
    </row>
    <row r="360" spans="1:31" ht="15.6" hidden="1" customHeight="1" x14ac:dyDescent="0.25">
      <c r="A360" s="57" t="s">
        <v>18</v>
      </c>
      <c r="B360" s="57" t="s">
        <v>18</v>
      </c>
      <c r="C360" s="57" t="s">
        <v>21</v>
      </c>
      <c r="D360" s="57" t="s">
        <v>18</v>
      </c>
      <c r="E360" s="57" t="s">
        <v>21</v>
      </c>
      <c r="F360" s="57" t="s">
        <v>18</v>
      </c>
      <c r="G360" s="57" t="s">
        <v>22</v>
      </c>
      <c r="H360" s="57" t="s">
        <v>19</v>
      </c>
      <c r="I360" s="57" t="s">
        <v>24</v>
      </c>
      <c r="J360" s="57" t="s">
        <v>18</v>
      </c>
      <c r="K360" s="57" t="s">
        <v>18</v>
      </c>
      <c r="L360" s="57" t="s">
        <v>20</v>
      </c>
      <c r="M360" s="57" t="s">
        <v>37</v>
      </c>
      <c r="N360" s="57" t="s">
        <v>18</v>
      </c>
      <c r="O360" s="57" t="s">
        <v>24</v>
      </c>
      <c r="P360" s="57" t="s">
        <v>22</v>
      </c>
      <c r="Q360" s="57" t="s">
        <v>46</v>
      </c>
      <c r="R360" s="149"/>
      <c r="S360" s="66" t="s">
        <v>0</v>
      </c>
      <c r="T360" s="1">
        <v>58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62">
        <f t="shared" si="84"/>
        <v>58</v>
      </c>
      <c r="AB360" s="61">
        <v>2018</v>
      </c>
      <c r="AC360" s="9"/>
      <c r="AD360" s="104"/>
      <c r="AE360" s="104"/>
    </row>
    <row r="361" spans="1:31" ht="15.6" hidden="1" customHeight="1" x14ac:dyDescent="0.25">
      <c r="A361" s="57" t="s">
        <v>18</v>
      </c>
      <c r="B361" s="57" t="s">
        <v>18</v>
      </c>
      <c r="C361" s="57" t="s">
        <v>21</v>
      </c>
      <c r="D361" s="57" t="s">
        <v>18</v>
      </c>
      <c r="E361" s="57" t="s">
        <v>21</v>
      </c>
      <c r="F361" s="57" t="s">
        <v>18</v>
      </c>
      <c r="G361" s="57" t="s">
        <v>22</v>
      </c>
      <c r="H361" s="57" t="s">
        <v>19</v>
      </c>
      <c r="I361" s="57" t="s">
        <v>24</v>
      </c>
      <c r="J361" s="57" t="s">
        <v>18</v>
      </c>
      <c r="K361" s="57" t="s">
        <v>18</v>
      </c>
      <c r="L361" s="57" t="s">
        <v>20</v>
      </c>
      <c r="M361" s="57" t="s">
        <v>37</v>
      </c>
      <c r="N361" s="57" t="s">
        <v>18</v>
      </c>
      <c r="O361" s="57" t="s">
        <v>24</v>
      </c>
      <c r="P361" s="57" t="s">
        <v>22</v>
      </c>
      <c r="Q361" s="57" t="s">
        <v>46</v>
      </c>
      <c r="R361" s="149"/>
      <c r="S361" s="66" t="s">
        <v>0</v>
      </c>
      <c r="T361" s="1">
        <v>353.3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2">
        <f t="shared" si="84"/>
        <v>353.3</v>
      </c>
      <c r="AB361" s="61">
        <v>2018</v>
      </c>
      <c r="AC361" s="89"/>
      <c r="AD361" s="104"/>
      <c r="AE361" s="104"/>
    </row>
    <row r="362" spans="1:31" ht="15.6" hidden="1" customHeight="1" x14ac:dyDescent="0.25">
      <c r="A362" s="57" t="s">
        <v>18</v>
      </c>
      <c r="B362" s="57" t="s">
        <v>18</v>
      </c>
      <c r="C362" s="57" t="s">
        <v>21</v>
      </c>
      <c r="D362" s="57" t="s">
        <v>18</v>
      </c>
      <c r="E362" s="57" t="s">
        <v>21</v>
      </c>
      <c r="F362" s="57" t="s">
        <v>18</v>
      </c>
      <c r="G362" s="57" t="s">
        <v>22</v>
      </c>
      <c r="H362" s="57" t="s">
        <v>19</v>
      </c>
      <c r="I362" s="57" t="s">
        <v>24</v>
      </c>
      <c r="J362" s="57" t="s">
        <v>18</v>
      </c>
      <c r="K362" s="57" t="s">
        <v>18</v>
      </c>
      <c r="L362" s="57" t="s">
        <v>20</v>
      </c>
      <c r="M362" s="57" t="s">
        <v>37</v>
      </c>
      <c r="N362" s="57" t="s">
        <v>18</v>
      </c>
      <c r="O362" s="57" t="s">
        <v>24</v>
      </c>
      <c r="P362" s="57" t="s">
        <v>22</v>
      </c>
      <c r="Q362" s="57" t="s">
        <v>39</v>
      </c>
      <c r="R362" s="149"/>
      <c r="S362" s="66" t="s">
        <v>0</v>
      </c>
      <c r="T362" s="1">
        <v>321.2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2">
        <f t="shared" si="84"/>
        <v>321.2</v>
      </c>
      <c r="AB362" s="61">
        <v>2018</v>
      </c>
      <c r="AC362" s="9"/>
      <c r="AD362" s="104"/>
      <c r="AE362" s="104"/>
    </row>
    <row r="363" spans="1:31" ht="27.6" hidden="1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91" t="s">
        <v>237</v>
      </c>
      <c r="S363" s="87" t="s">
        <v>8</v>
      </c>
      <c r="T363" s="44">
        <v>1</v>
      </c>
      <c r="U363" s="44">
        <v>0</v>
      </c>
      <c r="V363" s="44">
        <v>0</v>
      </c>
      <c r="W363" s="44">
        <v>0</v>
      </c>
      <c r="X363" s="44">
        <v>0</v>
      </c>
      <c r="Y363" s="44">
        <v>0</v>
      </c>
      <c r="Z363" s="44">
        <v>0</v>
      </c>
      <c r="AA363" s="52">
        <f t="shared" si="84"/>
        <v>1</v>
      </c>
      <c r="AB363" s="41">
        <v>2018</v>
      </c>
      <c r="AC363" s="9"/>
      <c r="AD363" s="104"/>
      <c r="AE363" s="104"/>
    </row>
    <row r="364" spans="1:31" ht="15.6" hidden="1" customHeight="1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149" t="s">
        <v>238</v>
      </c>
      <c r="S364" s="66" t="s">
        <v>0</v>
      </c>
      <c r="T364" s="1">
        <f>SUM(T365:T368)</f>
        <v>979.3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62">
        <f t="shared" si="84"/>
        <v>979.3</v>
      </c>
      <c r="AB364" s="61">
        <v>2018</v>
      </c>
      <c r="AC364" s="9"/>
      <c r="AD364" s="104"/>
      <c r="AE364" s="104"/>
    </row>
    <row r="365" spans="1:31" ht="15.6" hidden="1" customHeight="1" x14ac:dyDescent="0.25">
      <c r="A365" s="57" t="s">
        <v>18</v>
      </c>
      <c r="B365" s="57" t="s">
        <v>18</v>
      </c>
      <c r="C365" s="57" t="s">
        <v>21</v>
      </c>
      <c r="D365" s="57" t="s">
        <v>18</v>
      </c>
      <c r="E365" s="57" t="s">
        <v>21</v>
      </c>
      <c r="F365" s="57" t="s">
        <v>18</v>
      </c>
      <c r="G365" s="57" t="s">
        <v>22</v>
      </c>
      <c r="H365" s="57" t="s">
        <v>19</v>
      </c>
      <c r="I365" s="57" t="s">
        <v>24</v>
      </c>
      <c r="J365" s="57" t="s">
        <v>18</v>
      </c>
      <c r="K365" s="57" t="s">
        <v>18</v>
      </c>
      <c r="L365" s="57" t="s">
        <v>20</v>
      </c>
      <c r="M365" s="57" t="s">
        <v>19</v>
      </c>
      <c r="N365" s="57" t="s">
        <v>18</v>
      </c>
      <c r="O365" s="57" t="s">
        <v>24</v>
      </c>
      <c r="P365" s="57" t="s">
        <v>22</v>
      </c>
      <c r="Q365" s="57" t="s">
        <v>45</v>
      </c>
      <c r="R365" s="149"/>
      <c r="S365" s="66" t="s">
        <v>0</v>
      </c>
      <c r="T365" s="1">
        <v>391.7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2">
        <f t="shared" si="84"/>
        <v>391.7</v>
      </c>
      <c r="AB365" s="61">
        <v>2018</v>
      </c>
      <c r="AC365" s="9"/>
      <c r="AD365" s="104"/>
      <c r="AE365" s="104"/>
    </row>
    <row r="366" spans="1:31" ht="15.6" hidden="1" customHeight="1" x14ac:dyDescent="0.25">
      <c r="A366" s="57" t="s">
        <v>18</v>
      </c>
      <c r="B366" s="57" t="s">
        <v>18</v>
      </c>
      <c r="C366" s="57" t="s">
        <v>21</v>
      </c>
      <c r="D366" s="57" t="s">
        <v>18</v>
      </c>
      <c r="E366" s="57" t="s">
        <v>21</v>
      </c>
      <c r="F366" s="57" t="s">
        <v>18</v>
      </c>
      <c r="G366" s="57" t="s">
        <v>22</v>
      </c>
      <c r="H366" s="57" t="s">
        <v>19</v>
      </c>
      <c r="I366" s="57" t="s">
        <v>24</v>
      </c>
      <c r="J366" s="57" t="s">
        <v>18</v>
      </c>
      <c r="K366" s="57" t="s">
        <v>18</v>
      </c>
      <c r="L366" s="57" t="s">
        <v>20</v>
      </c>
      <c r="M366" s="57" t="s">
        <v>37</v>
      </c>
      <c r="N366" s="57" t="s">
        <v>18</v>
      </c>
      <c r="O366" s="57" t="s">
        <v>43</v>
      </c>
      <c r="P366" s="57" t="s">
        <v>22</v>
      </c>
      <c r="Q366" s="57" t="s">
        <v>185</v>
      </c>
      <c r="R366" s="149"/>
      <c r="S366" s="66" t="s">
        <v>0</v>
      </c>
      <c r="T366" s="1">
        <v>30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2">
        <f t="shared" si="84"/>
        <v>30</v>
      </c>
      <c r="AB366" s="61">
        <v>2018</v>
      </c>
      <c r="AC366" s="9"/>
      <c r="AD366" s="104"/>
      <c r="AE366" s="104"/>
    </row>
    <row r="367" spans="1:31" ht="15.6" hidden="1" customHeight="1" x14ac:dyDescent="0.25">
      <c r="A367" s="57" t="s">
        <v>18</v>
      </c>
      <c r="B367" s="57" t="s">
        <v>18</v>
      </c>
      <c r="C367" s="57" t="s">
        <v>21</v>
      </c>
      <c r="D367" s="57" t="s">
        <v>18</v>
      </c>
      <c r="E367" s="57" t="s">
        <v>21</v>
      </c>
      <c r="F367" s="57" t="s">
        <v>18</v>
      </c>
      <c r="G367" s="57" t="s">
        <v>22</v>
      </c>
      <c r="H367" s="57" t="s">
        <v>19</v>
      </c>
      <c r="I367" s="57" t="s">
        <v>24</v>
      </c>
      <c r="J367" s="57" t="s">
        <v>18</v>
      </c>
      <c r="K367" s="57" t="s">
        <v>18</v>
      </c>
      <c r="L367" s="57" t="s">
        <v>20</v>
      </c>
      <c r="M367" s="57" t="s">
        <v>37</v>
      </c>
      <c r="N367" s="57" t="s">
        <v>18</v>
      </c>
      <c r="O367" s="57" t="s">
        <v>24</v>
      </c>
      <c r="P367" s="57" t="s">
        <v>22</v>
      </c>
      <c r="Q367" s="57" t="s">
        <v>46</v>
      </c>
      <c r="R367" s="149"/>
      <c r="S367" s="66" t="s">
        <v>0</v>
      </c>
      <c r="T367" s="1">
        <v>205.6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62">
        <f t="shared" si="84"/>
        <v>205.6</v>
      </c>
      <c r="AB367" s="61">
        <v>2018</v>
      </c>
      <c r="AC367" s="9"/>
      <c r="AD367" s="104"/>
      <c r="AE367" s="104"/>
    </row>
    <row r="368" spans="1:31" ht="15.6" hidden="1" customHeight="1" x14ac:dyDescent="0.25">
      <c r="A368" s="57" t="s">
        <v>18</v>
      </c>
      <c r="B368" s="57" t="s">
        <v>18</v>
      </c>
      <c r="C368" s="57" t="s">
        <v>21</v>
      </c>
      <c r="D368" s="57" t="s">
        <v>18</v>
      </c>
      <c r="E368" s="57" t="s">
        <v>21</v>
      </c>
      <c r="F368" s="57" t="s">
        <v>18</v>
      </c>
      <c r="G368" s="57" t="s">
        <v>22</v>
      </c>
      <c r="H368" s="57" t="s">
        <v>19</v>
      </c>
      <c r="I368" s="57" t="s">
        <v>24</v>
      </c>
      <c r="J368" s="57" t="s">
        <v>18</v>
      </c>
      <c r="K368" s="57" t="s">
        <v>18</v>
      </c>
      <c r="L368" s="57" t="s">
        <v>20</v>
      </c>
      <c r="M368" s="57" t="s">
        <v>37</v>
      </c>
      <c r="N368" s="57" t="s">
        <v>18</v>
      </c>
      <c r="O368" s="57" t="s">
        <v>24</v>
      </c>
      <c r="P368" s="57" t="s">
        <v>22</v>
      </c>
      <c r="Q368" s="57" t="s">
        <v>39</v>
      </c>
      <c r="R368" s="149"/>
      <c r="S368" s="66" t="s">
        <v>0</v>
      </c>
      <c r="T368" s="1">
        <v>352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2">
        <f t="shared" si="84"/>
        <v>352</v>
      </c>
      <c r="AB368" s="61">
        <v>2018</v>
      </c>
      <c r="AC368" s="9"/>
      <c r="AD368" s="104"/>
      <c r="AE368" s="104"/>
    </row>
    <row r="369" spans="1:31" ht="31.15" hidden="1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83" t="s">
        <v>239</v>
      </c>
      <c r="S369" s="87" t="s">
        <v>182</v>
      </c>
      <c r="T369" s="3">
        <v>356.5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84"/>
        <v>356.5</v>
      </c>
      <c r="AB369" s="41">
        <v>2018</v>
      </c>
      <c r="AC369" s="9"/>
      <c r="AD369" s="104"/>
      <c r="AE369" s="104"/>
    </row>
    <row r="370" spans="1:31" ht="15.6" hidden="1" customHeight="1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149" t="s">
        <v>240</v>
      </c>
      <c r="S370" s="66" t="s">
        <v>0</v>
      </c>
      <c r="T370" s="1">
        <f>SUM(T371:T374)</f>
        <v>695.4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62">
        <f t="shared" si="84"/>
        <v>695.4</v>
      </c>
      <c r="AB370" s="61">
        <v>2018</v>
      </c>
      <c r="AC370" s="9"/>
      <c r="AD370" s="104"/>
      <c r="AE370" s="104"/>
    </row>
    <row r="371" spans="1:31" ht="15.6" hidden="1" customHeight="1" x14ac:dyDescent="0.25">
      <c r="A371" s="57" t="s">
        <v>18</v>
      </c>
      <c r="B371" s="57" t="s">
        <v>18</v>
      </c>
      <c r="C371" s="57" t="s">
        <v>21</v>
      </c>
      <c r="D371" s="57" t="s">
        <v>18</v>
      </c>
      <c r="E371" s="57" t="s">
        <v>21</v>
      </c>
      <c r="F371" s="57" t="s">
        <v>18</v>
      </c>
      <c r="G371" s="57" t="s">
        <v>22</v>
      </c>
      <c r="H371" s="57" t="s">
        <v>19</v>
      </c>
      <c r="I371" s="57" t="s">
        <v>24</v>
      </c>
      <c r="J371" s="57" t="s">
        <v>18</v>
      </c>
      <c r="K371" s="57" t="s">
        <v>18</v>
      </c>
      <c r="L371" s="57" t="s">
        <v>20</v>
      </c>
      <c r="M371" s="57" t="s">
        <v>19</v>
      </c>
      <c r="N371" s="57" t="s">
        <v>18</v>
      </c>
      <c r="O371" s="57" t="s">
        <v>24</v>
      </c>
      <c r="P371" s="57" t="s">
        <v>22</v>
      </c>
      <c r="Q371" s="57" t="s">
        <v>45</v>
      </c>
      <c r="R371" s="149"/>
      <c r="S371" s="66" t="s">
        <v>0</v>
      </c>
      <c r="T371" s="1">
        <v>278.2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2">
        <f t="shared" si="84"/>
        <v>278.2</v>
      </c>
      <c r="AB371" s="61">
        <v>2018</v>
      </c>
      <c r="AC371" s="9"/>
      <c r="AD371" s="104"/>
      <c r="AE371" s="104"/>
    </row>
    <row r="372" spans="1:31" ht="15.6" hidden="1" customHeight="1" x14ac:dyDescent="0.25">
      <c r="A372" s="57" t="s">
        <v>18</v>
      </c>
      <c r="B372" s="57" t="s">
        <v>18</v>
      </c>
      <c r="C372" s="57" t="s">
        <v>21</v>
      </c>
      <c r="D372" s="57" t="s">
        <v>18</v>
      </c>
      <c r="E372" s="57" t="s">
        <v>21</v>
      </c>
      <c r="F372" s="57" t="s">
        <v>18</v>
      </c>
      <c r="G372" s="57" t="s">
        <v>22</v>
      </c>
      <c r="H372" s="57" t="s">
        <v>19</v>
      </c>
      <c r="I372" s="57" t="s">
        <v>24</v>
      </c>
      <c r="J372" s="57" t="s">
        <v>18</v>
      </c>
      <c r="K372" s="57" t="s">
        <v>18</v>
      </c>
      <c r="L372" s="57" t="s">
        <v>20</v>
      </c>
      <c r="M372" s="57" t="s">
        <v>37</v>
      </c>
      <c r="N372" s="57" t="s">
        <v>18</v>
      </c>
      <c r="O372" s="57" t="s">
        <v>43</v>
      </c>
      <c r="P372" s="57" t="s">
        <v>22</v>
      </c>
      <c r="Q372" s="57" t="s">
        <v>185</v>
      </c>
      <c r="R372" s="149"/>
      <c r="S372" s="66" t="s">
        <v>0</v>
      </c>
      <c r="T372" s="1">
        <v>20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2">
        <f t="shared" si="84"/>
        <v>20</v>
      </c>
      <c r="AB372" s="61">
        <v>2018</v>
      </c>
      <c r="AC372" s="9"/>
      <c r="AD372" s="104"/>
      <c r="AE372" s="104"/>
    </row>
    <row r="373" spans="1:31" ht="15.6" hidden="1" customHeight="1" x14ac:dyDescent="0.25">
      <c r="A373" s="57" t="s">
        <v>18</v>
      </c>
      <c r="B373" s="57" t="s">
        <v>18</v>
      </c>
      <c r="C373" s="57" t="s">
        <v>21</v>
      </c>
      <c r="D373" s="57" t="s">
        <v>18</v>
      </c>
      <c r="E373" s="57" t="s">
        <v>21</v>
      </c>
      <c r="F373" s="57" t="s">
        <v>18</v>
      </c>
      <c r="G373" s="57" t="s">
        <v>22</v>
      </c>
      <c r="H373" s="57" t="s">
        <v>19</v>
      </c>
      <c r="I373" s="57" t="s">
        <v>24</v>
      </c>
      <c r="J373" s="57" t="s">
        <v>18</v>
      </c>
      <c r="K373" s="57" t="s">
        <v>18</v>
      </c>
      <c r="L373" s="57" t="s">
        <v>20</v>
      </c>
      <c r="M373" s="57" t="s">
        <v>37</v>
      </c>
      <c r="N373" s="57" t="s">
        <v>18</v>
      </c>
      <c r="O373" s="57" t="s">
        <v>24</v>
      </c>
      <c r="P373" s="57" t="s">
        <v>22</v>
      </c>
      <c r="Q373" s="57" t="s">
        <v>46</v>
      </c>
      <c r="R373" s="149"/>
      <c r="S373" s="66" t="s">
        <v>0</v>
      </c>
      <c r="T373" s="1">
        <v>104.3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62">
        <f t="shared" si="84"/>
        <v>104.3</v>
      </c>
      <c r="AB373" s="61">
        <v>2018</v>
      </c>
      <c r="AC373" s="9"/>
      <c r="AD373" s="104"/>
      <c r="AE373" s="104"/>
    </row>
    <row r="374" spans="1:31" ht="15.6" hidden="1" customHeight="1" x14ac:dyDescent="0.25">
      <c r="A374" s="57" t="s">
        <v>18</v>
      </c>
      <c r="B374" s="57" t="s">
        <v>18</v>
      </c>
      <c r="C374" s="57" t="s">
        <v>21</v>
      </c>
      <c r="D374" s="57" t="s">
        <v>18</v>
      </c>
      <c r="E374" s="57" t="s">
        <v>21</v>
      </c>
      <c r="F374" s="57" t="s">
        <v>18</v>
      </c>
      <c r="G374" s="57" t="s">
        <v>22</v>
      </c>
      <c r="H374" s="57" t="s">
        <v>19</v>
      </c>
      <c r="I374" s="57" t="s">
        <v>24</v>
      </c>
      <c r="J374" s="57" t="s">
        <v>18</v>
      </c>
      <c r="K374" s="57" t="s">
        <v>18</v>
      </c>
      <c r="L374" s="57" t="s">
        <v>20</v>
      </c>
      <c r="M374" s="57" t="s">
        <v>37</v>
      </c>
      <c r="N374" s="57" t="s">
        <v>18</v>
      </c>
      <c r="O374" s="57" t="s">
        <v>24</v>
      </c>
      <c r="P374" s="57" t="s">
        <v>22</v>
      </c>
      <c r="Q374" s="57" t="s">
        <v>39</v>
      </c>
      <c r="R374" s="149"/>
      <c r="S374" s="66" t="s">
        <v>0</v>
      </c>
      <c r="T374" s="1">
        <v>292.89999999999998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2">
        <f t="shared" si="84"/>
        <v>292.89999999999998</v>
      </c>
      <c r="AB374" s="61">
        <v>2018</v>
      </c>
      <c r="AC374" s="9"/>
      <c r="AD374" s="104"/>
      <c r="AE374" s="104"/>
    </row>
    <row r="375" spans="1:31" ht="31.15" hidden="1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81" t="s">
        <v>241</v>
      </c>
      <c r="S375" s="92" t="s">
        <v>187</v>
      </c>
      <c r="T375" s="3">
        <v>190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6">
        <f t="shared" si="84"/>
        <v>190</v>
      </c>
      <c r="AB375" s="41">
        <v>2018</v>
      </c>
      <c r="AC375" s="9"/>
      <c r="AD375" s="104"/>
      <c r="AE375" s="104"/>
    </row>
    <row r="376" spans="1:31" ht="15.6" hidden="1" customHeight="1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149" t="s">
        <v>242</v>
      </c>
      <c r="S376" s="66" t="s">
        <v>0</v>
      </c>
      <c r="T376" s="1">
        <f>SUM(T377:T381)</f>
        <v>836.4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2">
        <f t="shared" si="84"/>
        <v>836.4</v>
      </c>
      <c r="AB376" s="61">
        <v>2018</v>
      </c>
      <c r="AC376" s="9"/>
      <c r="AD376" s="104"/>
      <c r="AE376" s="104"/>
    </row>
    <row r="377" spans="1:31" ht="15.6" hidden="1" customHeight="1" x14ac:dyDescent="0.25">
      <c r="A377" s="57" t="s">
        <v>18</v>
      </c>
      <c r="B377" s="57" t="s">
        <v>18</v>
      </c>
      <c r="C377" s="57" t="s">
        <v>21</v>
      </c>
      <c r="D377" s="57" t="s">
        <v>18</v>
      </c>
      <c r="E377" s="57" t="s">
        <v>21</v>
      </c>
      <c r="F377" s="57" t="s">
        <v>18</v>
      </c>
      <c r="G377" s="57" t="s">
        <v>22</v>
      </c>
      <c r="H377" s="57" t="s">
        <v>19</v>
      </c>
      <c r="I377" s="57" t="s">
        <v>24</v>
      </c>
      <c r="J377" s="57" t="s">
        <v>18</v>
      </c>
      <c r="K377" s="57" t="s">
        <v>18</v>
      </c>
      <c r="L377" s="57" t="s">
        <v>20</v>
      </c>
      <c r="M377" s="57" t="s">
        <v>19</v>
      </c>
      <c r="N377" s="57" t="s">
        <v>18</v>
      </c>
      <c r="O377" s="57" t="s">
        <v>24</v>
      </c>
      <c r="P377" s="57" t="s">
        <v>22</v>
      </c>
      <c r="Q377" s="57" t="s">
        <v>45</v>
      </c>
      <c r="R377" s="149"/>
      <c r="S377" s="66" t="s">
        <v>0</v>
      </c>
      <c r="T377" s="1">
        <v>334.5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62">
        <f t="shared" si="84"/>
        <v>334.5</v>
      </c>
      <c r="AB377" s="61">
        <v>2018</v>
      </c>
      <c r="AC377" s="9"/>
      <c r="AD377" s="104"/>
      <c r="AE377" s="104"/>
    </row>
    <row r="378" spans="1:31" ht="15.6" hidden="1" customHeight="1" x14ac:dyDescent="0.25">
      <c r="A378" s="57" t="s">
        <v>18</v>
      </c>
      <c r="B378" s="57" t="s">
        <v>18</v>
      </c>
      <c r="C378" s="57" t="s">
        <v>21</v>
      </c>
      <c r="D378" s="57" t="s">
        <v>18</v>
      </c>
      <c r="E378" s="57" t="s">
        <v>21</v>
      </c>
      <c r="F378" s="57" t="s">
        <v>18</v>
      </c>
      <c r="G378" s="57" t="s">
        <v>22</v>
      </c>
      <c r="H378" s="57" t="s">
        <v>19</v>
      </c>
      <c r="I378" s="57" t="s">
        <v>24</v>
      </c>
      <c r="J378" s="57" t="s">
        <v>18</v>
      </c>
      <c r="K378" s="57" t="s">
        <v>18</v>
      </c>
      <c r="L378" s="57" t="s">
        <v>20</v>
      </c>
      <c r="M378" s="57" t="s">
        <v>19</v>
      </c>
      <c r="N378" s="57" t="s">
        <v>18</v>
      </c>
      <c r="O378" s="57" t="s">
        <v>43</v>
      </c>
      <c r="P378" s="57" t="s">
        <v>22</v>
      </c>
      <c r="Q378" s="57" t="s">
        <v>185</v>
      </c>
      <c r="R378" s="149"/>
      <c r="S378" s="66" t="s">
        <v>0</v>
      </c>
      <c r="T378" s="1">
        <v>30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62">
        <f>SUM(T378:Y378)</f>
        <v>30</v>
      </c>
      <c r="AB378" s="61">
        <v>2018</v>
      </c>
      <c r="AC378" s="9"/>
      <c r="AD378" s="104"/>
      <c r="AE378" s="104"/>
    </row>
    <row r="379" spans="1:31" ht="15.6" hidden="1" customHeight="1" x14ac:dyDescent="0.25">
      <c r="A379" s="57" t="s">
        <v>18</v>
      </c>
      <c r="B379" s="57" t="s">
        <v>18</v>
      </c>
      <c r="C379" s="57" t="s">
        <v>21</v>
      </c>
      <c r="D379" s="57" t="s">
        <v>18</v>
      </c>
      <c r="E379" s="57" t="s">
        <v>21</v>
      </c>
      <c r="F379" s="57" t="s">
        <v>18</v>
      </c>
      <c r="G379" s="57" t="s">
        <v>22</v>
      </c>
      <c r="H379" s="57" t="s">
        <v>19</v>
      </c>
      <c r="I379" s="57" t="s">
        <v>24</v>
      </c>
      <c r="J379" s="57" t="s">
        <v>18</v>
      </c>
      <c r="K379" s="57" t="s">
        <v>18</v>
      </c>
      <c r="L379" s="57" t="s">
        <v>20</v>
      </c>
      <c r="M379" s="57" t="s">
        <v>37</v>
      </c>
      <c r="N379" s="57" t="s">
        <v>18</v>
      </c>
      <c r="O379" s="57" t="s">
        <v>24</v>
      </c>
      <c r="P379" s="57" t="s">
        <v>22</v>
      </c>
      <c r="Q379" s="57" t="s">
        <v>46</v>
      </c>
      <c r="R379" s="149"/>
      <c r="S379" s="66" t="s">
        <v>0</v>
      </c>
      <c r="T379" s="1">
        <v>16.399999999999999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62">
        <f t="shared" si="84"/>
        <v>16.399999999999999</v>
      </c>
      <c r="AB379" s="61">
        <v>2018</v>
      </c>
      <c r="AC379" s="9"/>
      <c r="AD379" s="104"/>
      <c r="AE379" s="104"/>
    </row>
    <row r="380" spans="1:31" ht="15.6" hidden="1" customHeight="1" x14ac:dyDescent="0.25">
      <c r="A380" s="57" t="s">
        <v>18</v>
      </c>
      <c r="B380" s="57" t="s">
        <v>18</v>
      </c>
      <c r="C380" s="57" t="s">
        <v>21</v>
      </c>
      <c r="D380" s="57" t="s">
        <v>18</v>
      </c>
      <c r="E380" s="57" t="s">
        <v>21</v>
      </c>
      <c r="F380" s="57" t="s">
        <v>18</v>
      </c>
      <c r="G380" s="57" t="s">
        <v>22</v>
      </c>
      <c r="H380" s="57" t="s">
        <v>19</v>
      </c>
      <c r="I380" s="57" t="s">
        <v>24</v>
      </c>
      <c r="J380" s="57" t="s">
        <v>18</v>
      </c>
      <c r="K380" s="57" t="s">
        <v>18</v>
      </c>
      <c r="L380" s="57" t="s">
        <v>20</v>
      </c>
      <c r="M380" s="57" t="s">
        <v>37</v>
      </c>
      <c r="N380" s="57" t="s">
        <v>18</v>
      </c>
      <c r="O380" s="57" t="s">
        <v>24</v>
      </c>
      <c r="P380" s="57" t="s">
        <v>22</v>
      </c>
      <c r="Q380" s="57" t="s">
        <v>46</v>
      </c>
      <c r="R380" s="149"/>
      <c r="S380" s="66" t="s">
        <v>0</v>
      </c>
      <c r="T380" s="1">
        <v>125.5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2">
        <f t="shared" si="84"/>
        <v>125.5</v>
      </c>
      <c r="AB380" s="61">
        <v>2018</v>
      </c>
      <c r="AC380" s="9"/>
      <c r="AD380" s="104"/>
      <c r="AE380" s="104"/>
    </row>
    <row r="381" spans="1:31" ht="15.6" hidden="1" customHeight="1" x14ac:dyDescent="0.25">
      <c r="A381" s="57" t="s">
        <v>18</v>
      </c>
      <c r="B381" s="57" t="s">
        <v>18</v>
      </c>
      <c r="C381" s="57" t="s">
        <v>21</v>
      </c>
      <c r="D381" s="57" t="s">
        <v>18</v>
      </c>
      <c r="E381" s="57" t="s">
        <v>21</v>
      </c>
      <c r="F381" s="57" t="s">
        <v>18</v>
      </c>
      <c r="G381" s="57" t="s">
        <v>22</v>
      </c>
      <c r="H381" s="57" t="s">
        <v>19</v>
      </c>
      <c r="I381" s="57" t="s">
        <v>24</v>
      </c>
      <c r="J381" s="57" t="s">
        <v>18</v>
      </c>
      <c r="K381" s="57" t="s">
        <v>18</v>
      </c>
      <c r="L381" s="57" t="s">
        <v>20</v>
      </c>
      <c r="M381" s="57" t="s">
        <v>37</v>
      </c>
      <c r="N381" s="57" t="s">
        <v>18</v>
      </c>
      <c r="O381" s="57" t="s">
        <v>24</v>
      </c>
      <c r="P381" s="57" t="s">
        <v>22</v>
      </c>
      <c r="Q381" s="57" t="s">
        <v>39</v>
      </c>
      <c r="R381" s="149"/>
      <c r="S381" s="66" t="s">
        <v>0</v>
      </c>
      <c r="T381" s="1">
        <v>330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2">
        <f t="shared" si="84"/>
        <v>330</v>
      </c>
      <c r="AB381" s="61">
        <v>2018</v>
      </c>
      <c r="AC381" s="9"/>
      <c r="AD381" s="104"/>
      <c r="AE381" s="104"/>
    </row>
    <row r="382" spans="1:31" ht="27.6" hidden="1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91" t="s">
        <v>243</v>
      </c>
      <c r="S382" s="87" t="s">
        <v>8</v>
      </c>
      <c r="T382" s="44">
        <v>1</v>
      </c>
      <c r="U382" s="44">
        <v>0</v>
      </c>
      <c r="V382" s="44">
        <v>0</v>
      </c>
      <c r="W382" s="44">
        <v>0</v>
      </c>
      <c r="X382" s="44">
        <v>0</v>
      </c>
      <c r="Y382" s="44">
        <v>0</v>
      </c>
      <c r="Z382" s="44">
        <v>0</v>
      </c>
      <c r="AA382" s="6">
        <f t="shared" si="84"/>
        <v>1</v>
      </c>
      <c r="AB382" s="41">
        <v>2018</v>
      </c>
      <c r="AC382" s="9"/>
      <c r="AD382" s="104"/>
      <c r="AE382" s="104"/>
    </row>
    <row r="383" spans="1:31" ht="15.6" customHeight="1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149" t="s">
        <v>141</v>
      </c>
      <c r="S383" s="66" t="s">
        <v>0</v>
      </c>
      <c r="T383" s="62">
        <f>SUM(T384:T386)</f>
        <v>6913.9150000000009</v>
      </c>
      <c r="U383" s="62">
        <f>SUM(U384:U388)</f>
        <v>3765.5</v>
      </c>
      <c r="V383" s="62">
        <v>0</v>
      </c>
      <c r="W383" s="62">
        <v>0</v>
      </c>
      <c r="X383" s="62">
        <v>0</v>
      </c>
      <c r="Y383" s="62">
        <v>0</v>
      </c>
      <c r="Z383" s="62">
        <v>0</v>
      </c>
      <c r="AA383" s="62">
        <f t="shared" ref="AA383:AA391" si="85">SUM(T383:Y383)</f>
        <v>10679.415000000001</v>
      </c>
      <c r="AB383" s="61">
        <v>2019</v>
      </c>
      <c r="AC383" s="128"/>
      <c r="AD383" s="104"/>
      <c r="AE383" s="104"/>
    </row>
    <row r="384" spans="1:31" x14ac:dyDescent="0.25">
      <c r="A384" s="57" t="s">
        <v>18</v>
      </c>
      <c r="B384" s="57" t="s">
        <v>18</v>
      </c>
      <c r="C384" s="57" t="s">
        <v>25</v>
      </c>
      <c r="D384" s="57" t="s">
        <v>18</v>
      </c>
      <c r="E384" s="57" t="s">
        <v>21</v>
      </c>
      <c r="F384" s="57" t="s">
        <v>18</v>
      </c>
      <c r="G384" s="57" t="s">
        <v>22</v>
      </c>
      <c r="H384" s="57" t="s">
        <v>19</v>
      </c>
      <c r="I384" s="57" t="s">
        <v>24</v>
      </c>
      <c r="J384" s="57" t="s">
        <v>18</v>
      </c>
      <c r="K384" s="57" t="s">
        <v>18</v>
      </c>
      <c r="L384" s="57" t="s">
        <v>20</v>
      </c>
      <c r="M384" s="57" t="s">
        <v>19</v>
      </c>
      <c r="N384" s="57" t="s">
        <v>18</v>
      </c>
      <c r="O384" s="57" t="s">
        <v>24</v>
      </c>
      <c r="P384" s="57" t="s">
        <v>22</v>
      </c>
      <c r="Q384" s="57" t="s">
        <v>45</v>
      </c>
      <c r="R384" s="149"/>
      <c r="S384" s="66" t="s">
        <v>0</v>
      </c>
      <c r="T384" s="1">
        <f>T393+T399+T405+T411+T417+T423+T428+T434+T440+T446+T452</f>
        <v>2886.915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62">
        <f t="shared" si="85"/>
        <v>2886.915</v>
      </c>
      <c r="AB384" s="61">
        <v>2018</v>
      </c>
      <c r="AC384" s="128"/>
      <c r="AD384" s="104"/>
      <c r="AE384" s="104"/>
    </row>
    <row r="385" spans="1:31" x14ac:dyDescent="0.25">
      <c r="A385" s="57" t="s">
        <v>18</v>
      </c>
      <c r="B385" s="57" t="s">
        <v>18</v>
      </c>
      <c r="C385" s="57" t="s">
        <v>25</v>
      </c>
      <c r="D385" s="57" t="s">
        <v>18</v>
      </c>
      <c r="E385" s="57" t="s">
        <v>21</v>
      </c>
      <c r="F385" s="57" t="s">
        <v>18</v>
      </c>
      <c r="G385" s="57" t="s">
        <v>22</v>
      </c>
      <c r="H385" s="57" t="s">
        <v>19</v>
      </c>
      <c r="I385" s="57" t="s">
        <v>24</v>
      </c>
      <c r="J385" s="57" t="s">
        <v>18</v>
      </c>
      <c r="K385" s="57" t="s">
        <v>18</v>
      </c>
      <c r="L385" s="57" t="s">
        <v>20</v>
      </c>
      <c r="M385" s="57" t="s">
        <v>37</v>
      </c>
      <c r="N385" s="57" t="s">
        <v>18</v>
      </c>
      <c r="O385" s="57" t="s">
        <v>24</v>
      </c>
      <c r="P385" s="57" t="s">
        <v>22</v>
      </c>
      <c r="Q385" s="57" t="s">
        <v>46</v>
      </c>
      <c r="R385" s="149"/>
      <c r="S385" s="66" t="s">
        <v>0</v>
      </c>
      <c r="T385" s="1">
        <f>T394+T395+T400+T401+T406+T407+T412+T413+T418+T419+T424+T429+T430+T435+T436+T441+T442+T447+T448+T453+T454</f>
        <v>1641.4</v>
      </c>
      <c r="U385" s="1">
        <v>868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62">
        <f t="shared" si="85"/>
        <v>2509.4</v>
      </c>
      <c r="AB385" s="61">
        <v>2019</v>
      </c>
      <c r="AC385" s="128"/>
      <c r="AD385" s="104"/>
      <c r="AE385" s="104"/>
    </row>
    <row r="386" spans="1:31" x14ac:dyDescent="0.25">
      <c r="A386" s="57" t="s">
        <v>18</v>
      </c>
      <c r="B386" s="57" t="s">
        <v>18</v>
      </c>
      <c r="C386" s="57" t="s">
        <v>25</v>
      </c>
      <c r="D386" s="57" t="s">
        <v>18</v>
      </c>
      <c r="E386" s="57" t="s">
        <v>21</v>
      </c>
      <c r="F386" s="57" t="s">
        <v>18</v>
      </c>
      <c r="G386" s="57" t="s">
        <v>22</v>
      </c>
      <c r="H386" s="57" t="s">
        <v>19</v>
      </c>
      <c r="I386" s="57" t="s">
        <v>24</v>
      </c>
      <c r="J386" s="57" t="s">
        <v>18</v>
      </c>
      <c r="K386" s="57" t="s">
        <v>18</v>
      </c>
      <c r="L386" s="57" t="s">
        <v>20</v>
      </c>
      <c r="M386" s="57" t="s">
        <v>37</v>
      </c>
      <c r="N386" s="57" t="s">
        <v>18</v>
      </c>
      <c r="O386" s="57" t="s">
        <v>24</v>
      </c>
      <c r="P386" s="57" t="s">
        <v>22</v>
      </c>
      <c r="Q386" s="57" t="s">
        <v>39</v>
      </c>
      <c r="R386" s="149"/>
      <c r="S386" s="66" t="s">
        <v>0</v>
      </c>
      <c r="T386" s="1">
        <v>2385.6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62">
        <f t="shared" si="85"/>
        <v>2385.6</v>
      </c>
      <c r="AB386" s="61">
        <v>2018</v>
      </c>
      <c r="AC386" s="128"/>
      <c r="AD386" s="104"/>
      <c r="AE386" s="104"/>
    </row>
    <row r="387" spans="1:31" x14ac:dyDescent="0.25">
      <c r="A387" s="57" t="s">
        <v>18</v>
      </c>
      <c r="B387" s="57" t="s">
        <v>18</v>
      </c>
      <c r="C387" s="57" t="s">
        <v>25</v>
      </c>
      <c r="D387" s="57" t="s">
        <v>18</v>
      </c>
      <c r="E387" s="57" t="s">
        <v>18</v>
      </c>
      <c r="F387" s="57" t="s">
        <v>18</v>
      </c>
      <c r="G387" s="57" t="s">
        <v>18</v>
      </c>
      <c r="H387" s="57" t="s">
        <v>19</v>
      </c>
      <c r="I387" s="57" t="s">
        <v>24</v>
      </c>
      <c r="J387" s="57" t="s">
        <v>18</v>
      </c>
      <c r="K387" s="57" t="s">
        <v>18</v>
      </c>
      <c r="L387" s="57" t="s">
        <v>20</v>
      </c>
      <c r="M387" s="57" t="s">
        <v>19</v>
      </c>
      <c r="N387" s="57" t="s">
        <v>18</v>
      </c>
      <c r="O387" s="57" t="s">
        <v>24</v>
      </c>
      <c r="P387" s="57" t="s">
        <v>22</v>
      </c>
      <c r="Q387" s="57" t="s">
        <v>18</v>
      </c>
      <c r="R387" s="149"/>
      <c r="S387" s="66" t="s">
        <v>0</v>
      </c>
      <c r="T387" s="1">
        <v>0</v>
      </c>
      <c r="U387" s="1">
        <f>1977-1.3</f>
        <v>1975.7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62">
        <f t="shared" si="85"/>
        <v>1975.7</v>
      </c>
      <c r="AB387" s="61">
        <v>2019</v>
      </c>
      <c r="AC387" s="128"/>
      <c r="AD387" s="104"/>
      <c r="AE387" s="104"/>
    </row>
    <row r="388" spans="1:31" x14ac:dyDescent="0.25">
      <c r="A388" s="57" t="s">
        <v>18</v>
      </c>
      <c r="B388" s="57" t="s">
        <v>18</v>
      </c>
      <c r="C388" s="57" t="s">
        <v>25</v>
      </c>
      <c r="D388" s="57" t="s">
        <v>18</v>
      </c>
      <c r="E388" s="57" t="s">
        <v>18</v>
      </c>
      <c r="F388" s="57" t="s">
        <v>18</v>
      </c>
      <c r="G388" s="57" t="s">
        <v>18</v>
      </c>
      <c r="H388" s="57" t="s">
        <v>19</v>
      </c>
      <c r="I388" s="57" t="s">
        <v>24</v>
      </c>
      <c r="J388" s="57" t="s">
        <v>18</v>
      </c>
      <c r="K388" s="57" t="s">
        <v>18</v>
      </c>
      <c r="L388" s="57" t="s">
        <v>20</v>
      </c>
      <c r="M388" s="57" t="s">
        <v>37</v>
      </c>
      <c r="N388" s="57" t="s">
        <v>18</v>
      </c>
      <c r="O388" s="57" t="s">
        <v>24</v>
      </c>
      <c r="P388" s="57" t="s">
        <v>22</v>
      </c>
      <c r="Q388" s="57" t="s">
        <v>18</v>
      </c>
      <c r="R388" s="149"/>
      <c r="S388" s="66" t="s">
        <v>0</v>
      </c>
      <c r="T388" s="1">
        <v>0</v>
      </c>
      <c r="U388" s="1">
        <f>1119.1-197.3</f>
        <v>921.8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62">
        <f t="shared" ref="AA388" si="86">SUM(T388:Y388)</f>
        <v>921.8</v>
      </c>
      <c r="AB388" s="61">
        <v>2019</v>
      </c>
      <c r="AC388" s="128"/>
      <c r="AD388" s="104"/>
      <c r="AE388" s="104"/>
    </row>
    <row r="389" spans="1:31" ht="47.25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83" t="s">
        <v>329</v>
      </c>
      <c r="S389" s="65" t="s">
        <v>52</v>
      </c>
      <c r="T389" s="3">
        <v>1.5</v>
      </c>
      <c r="U389" s="3">
        <v>0.8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85"/>
        <v>2.2999999999999998</v>
      </c>
      <c r="AB389" s="41">
        <v>2019</v>
      </c>
      <c r="AC389" s="132"/>
      <c r="AD389" s="104"/>
      <c r="AE389" s="104"/>
    </row>
    <row r="390" spans="1:31" ht="46.9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83" t="s">
        <v>189</v>
      </c>
      <c r="S390" s="87" t="s">
        <v>188</v>
      </c>
      <c r="T390" s="3"/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6">
        <f t="shared" si="85"/>
        <v>0</v>
      </c>
      <c r="AB390" s="41">
        <v>2018</v>
      </c>
      <c r="AC390" s="132"/>
      <c r="AD390" s="104"/>
      <c r="AE390" s="104"/>
    </row>
    <row r="391" spans="1:31" ht="47.25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83" t="s">
        <v>330</v>
      </c>
      <c r="S391" s="87" t="s">
        <v>50</v>
      </c>
      <c r="T391" s="44">
        <v>10</v>
      </c>
      <c r="U391" s="44">
        <v>5</v>
      </c>
      <c r="V391" s="44">
        <v>0</v>
      </c>
      <c r="W391" s="44">
        <v>0</v>
      </c>
      <c r="X391" s="44">
        <v>0</v>
      </c>
      <c r="Y391" s="44">
        <v>0</v>
      </c>
      <c r="Z391" s="44">
        <v>0</v>
      </c>
      <c r="AA391" s="52">
        <f t="shared" si="85"/>
        <v>15</v>
      </c>
      <c r="AB391" s="41">
        <v>2019</v>
      </c>
      <c r="AC391" s="132"/>
      <c r="AD391" s="104"/>
      <c r="AE391" s="104"/>
    </row>
    <row r="392" spans="1:31" ht="15.6" hidden="1" customHeight="1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149" t="s">
        <v>246</v>
      </c>
      <c r="S392" s="66" t="s">
        <v>0</v>
      </c>
      <c r="T392" s="1">
        <f>SUM(T393:T396)</f>
        <v>721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/>
      <c r="AA392" s="62">
        <f t="shared" ref="AA392:AA455" si="87">SUM(T392:Y392)</f>
        <v>721</v>
      </c>
      <c r="AB392" s="61">
        <v>2018</v>
      </c>
      <c r="AC392" s="9"/>
      <c r="AD392" s="104"/>
      <c r="AE392" s="104"/>
    </row>
    <row r="393" spans="1:31" ht="15.6" hidden="1" customHeight="1" x14ac:dyDescent="0.25">
      <c r="A393" s="57" t="s">
        <v>18</v>
      </c>
      <c r="B393" s="57" t="s">
        <v>18</v>
      </c>
      <c r="C393" s="57" t="s">
        <v>25</v>
      </c>
      <c r="D393" s="57" t="s">
        <v>18</v>
      </c>
      <c r="E393" s="57" t="s">
        <v>21</v>
      </c>
      <c r="F393" s="57" t="s">
        <v>18</v>
      </c>
      <c r="G393" s="57" t="s">
        <v>22</v>
      </c>
      <c r="H393" s="57" t="s">
        <v>19</v>
      </c>
      <c r="I393" s="57" t="s">
        <v>24</v>
      </c>
      <c r="J393" s="57" t="s">
        <v>18</v>
      </c>
      <c r="K393" s="57" t="s">
        <v>18</v>
      </c>
      <c r="L393" s="57" t="s">
        <v>20</v>
      </c>
      <c r="M393" s="57" t="s">
        <v>19</v>
      </c>
      <c r="N393" s="57" t="s">
        <v>18</v>
      </c>
      <c r="O393" s="57" t="s">
        <v>24</v>
      </c>
      <c r="P393" s="57" t="s">
        <v>22</v>
      </c>
      <c r="Q393" s="57" t="s">
        <v>45</v>
      </c>
      <c r="R393" s="149"/>
      <c r="S393" s="66" t="s">
        <v>0</v>
      </c>
      <c r="T393" s="1">
        <v>288.39999999999998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/>
      <c r="AA393" s="62">
        <f t="shared" si="87"/>
        <v>288.39999999999998</v>
      </c>
      <c r="AB393" s="61">
        <v>2018</v>
      </c>
      <c r="AC393" s="9"/>
      <c r="AD393" s="104"/>
      <c r="AE393" s="104"/>
    </row>
    <row r="394" spans="1:31" ht="15.6" hidden="1" customHeight="1" x14ac:dyDescent="0.25">
      <c r="A394" s="57" t="s">
        <v>18</v>
      </c>
      <c r="B394" s="57" t="s">
        <v>18</v>
      </c>
      <c r="C394" s="57" t="s">
        <v>25</v>
      </c>
      <c r="D394" s="57" t="s">
        <v>18</v>
      </c>
      <c r="E394" s="57" t="s">
        <v>21</v>
      </c>
      <c r="F394" s="57" t="s">
        <v>18</v>
      </c>
      <c r="G394" s="57" t="s">
        <v>22</v>
      </c>
      <c r="H394" s="57" t="s">
        <v>19</v>
      </c>
      <c r="I394" s="57" t="s">
        <v>24</v>
      </c>
      <c r="J394" s="57" t="s">
        <v>18</v>
      </c>
      <c r="K394" s="57" t="s">
        <v>18</v>
      </c>
      <c r="L394" s="57" t="s">
        <v>20</v>
      </c>
      <c r="M394" s="57" t="s">
        <v>37</v>
      </c>
      <c r="N394" s="57" t="s">
        <v>18</v>
      </c>
      <c r="O394" s="57" t="s">
        <v>24</v>
      </c>
      <c r="P394" s="57" t="s">
        <v>22</v>
      </c>
      <c r="Q394" s="57" t="s">
        <v>46</v>
      </c>
      <c r="R394" s="149"/>
      <c r="S394" s="66" t="s">
        <v>0</v>
      </c>
      <c r="T394" s="1">
        <v>6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/>
      <c r="AA394" s="62">
        <f t="shared" si="87"/>
        <v>6</v>
      </c>
      <c r="AB394" s="61">
        <v>2018</v>
      </c>
      <c r="AC394" s="9"/>
      <c r="AD394" s="104"/>
      <c r="AE394" s="104"/>
    </row>
    <row r="395" spans="1:31" ht="15.6" hidden="1" customHeight="1" x14ac:dyDescent="0.25">
      <c r="A395" s="57" t="s">
        <v>18</v>
      </c>
      <c r="B395" s="57" t="s">
        <v>18</v>
      </c>
      <c r="C395" s="57" t="s">
        <v>25</v>
      </c>
      <c r="D395" s="57" t="s">
        <v>18</v>
      </c>
      <c r="E395" s="57" t="s">
        <v>21</v>
      </c>
      <c r="F395" s="57" t="s">
        <v>18</v>
      </c>
      <c r="G395" s="57" t="s">
        <v>22</v>
      </c>
      <c r="H395" s="57" t="s">
        <v>19</v>
      </c>
      <c r="I395" s="57" t="s">
        <v>24</v>
      </c>
      <c r="J395" s="57" t="s">
        <v>18</v>
      </c>
      <c r="K395" s="57" t="s">
        <v>18</v>
      </c>
      <c r="L395" s="57" t="s">
        <v>20</v>
      </c>
      <c r="M395" s="57" t="s">
        <v>37</v>
      </c>
      <c r="N395" s="57" t="s">
        <v>18</v>
      </c>
      <c r="O395" s="57" t="s">
        <v>24</v>
      </c>
      <c r="P395" s="57" t="s">
        <v>22</v>
      </c>
      <c r="Q395" s="57" t="s">
        <v>46</v>
      </c>
      <c r="R395" s="149"/>
      <c r="S395" s="66" t="s">
        <v>0</v>
      </c>
      <c r="T395" s="1">
        <v>151.4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/>
      <c r="AA395" s="62">
        <f t="shared" si="87"/>
        <v>151.4</v>
      </c>
      <c r="AB395" s="61">
        <v>2018</v>
      </c>
      <c r="AC395" s="9"/>
      <c r="AD395" s="104"/>
      <c r="AE395" s="104"/>
    </row>
    <row r="396" spans="1:31" ht="15.6" hidden="1" customHeight="1" x14ac:dyDescent="0.25">
      <c r="A396" s="57" t="s">
        <v>18</v>
      </c>
      <c r="B396" s="57" t="s">
        <v>18</v>
      </c>
      <c r="C396" s="57" t="s">
        <v>25</v>
      </c>
      <c r="D396" s="57" t="s">
        <v>18</v>
      </c>
      <c r="E396" s="57" t="s">
        <v>21</v>
      </c>
      <c r="F396" s="57" t="s">
        <v>18</v>
      </c>
      <c r="G396" s="57" t="s">
        <v>22</v>
      </c>
      <c r="H396" s="57" t="s">
        <v>19</v>
      </c>
      <c r="I396" s="57" t="s">
        <v>24</v>
      </c>
      <c r="J396" s="57" t="s">
        <v>18</v>
      </c>
      <c r="K396" s="57" t="s">
        <v>18</v>
      </c>
      <c r="L396" s="57" t="s">
        <v>20</v>
      </c>
      <c r="M396" s="57" t="s">
        <v>37</v>
      </c>
      <c r="N396" s="57" t="s">
        <v>18</v>
      </c>
      <c r="O396" s="57" t="s">
        <v>24</v>
      </c>
      <c r="P396" s="57" t="s">
        <v>22</v>
      </c>
      <c r="Q396" s="57" t="s">
        <v>39</v>
      </c>
      <c r="R396" s="149"/>
      <c r="S396" s="66" t="s">
        <v>0</v>
      </c>
      <c r="T396" s="1">
        <v>275.2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2">
        <f t="shared" si="87"/>
        <v>275.2</v>
      </c>
      <c r="AB396" s="61">
        <v>2018</v>
      </c>
      <c r="AC396" s="9"/>
      <c r="AD396" s="104"/>
      <c r="AE396" s="104"/>
    </row>
    <row r="397" spans="1:31" ht="31.15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83" t="s">
        <v>247</v>
      </c>
      <c r="S397" s="87" t="s">
        <v>8</v>
      </c>
      <c r="T397" s="44">
        <v>1</v>
      </c>
      <c r="U397" s="44">
        <v>0</v>
      </c>
      <c r="V397" s="44">
        <v>0</v>
      </c>
      <c r="W397" s="44">
        <v>0</v>
      </c>
      <c r="X397" s="44">
        <v>0</v>
      </c>
      <c r="Y397" s="44">
        <v>0</v>
      </c>
      <c r="Z397" s="44"/>
      <c r="AA397" s="52">
        <f t="shared" si="87"/>
        <v>1</v>
      </c>
      <c r="AB397" s="41">
        <v>2018</v>
      </c>
      <c r="AC397" s="9"/>
      <c r="AD397" s="104"/>
      <c r="AE397" s="104"/>
    </row>
    <row r="398" spans="1:31" ht="15.6" hidden="1" customHeight="1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149" t="s">
        <v>248</v>
      </c>
      <c r="S398" s="66" t="s">
        <v>0</v>
      </c>
      <c r="T398" s="1">
        <f>SUM(T399:T402)</f>
        <v>960.80000000000007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2">
        <f t="shared" si="87"/>
        <v>960.80000000000007</v>
      </c>
      <c r="AB398" s="61">
        <v>2018</v>
      </c>
      <c r="AC398" s="9"/>
      <c r="AD398" s="104"/>
      <c r="AE398" s="104"/>
    </row>
    <row r="399" spans="1:31" ht="15.6" hidden="1" customHeight="1" x14ac:dyDescent="0.25">
      <c r="A399" s="57" t="s">
        <v>18</v>
      </c>
      <c r="B399" s="57" t="s">
        <v>18</v>
      </c>
      <c r="C399" s="57" t="s">
        <v>25</v>
      </c>
      <c r="D399" s="57" t="s">
        <v>18</v>
      </c>
      <c r="E399" s="57" t="s">
        <v>21</v>
      </c>
      <c r="F399" s="57" t="s">
        <v>18</v>
      </c>
      <c r="G399" s="57" t="s">
        <v>22</v>
      </c>
      <c r="H399" s="57" t="s">
        <v>19</v>
      </c>
      <c r="I399" s="57" t="s">
        <v>24</v>
      </c>
      <c r="J399" s="57" t="s">
        <v>18</v>
      </c>
      <c r="K399" s="57" t="s">
        <v>18</v>
      </c>
      <c r="L399" s="57" t="s">
        <v>20</v>
      </c>
      <c r="M399" s="57" t="s">
        <v>19</v>
      </c>
      <c r="N399" s="57" t="s">
        <v>18</v>
      </c>
      <c r="O399" s="57" t="s">
        <v>24</v>
      </c>
      <c r="P399" s="57" t="s">
        <v>22</v>
      </c>
      <c r="Q399" s="57" t="s">
        <v>45</v>
      </c>
      <c r="R399" s="149"/>
      <c r="S399" s="66" t="s">
        <v>0</v>
      </c>
      <c r="T399" s="1">
        <v>384.3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2">
        <f t="shared" si="87"/>
        <v>384.3</v>
      </c>
      <c r="AB399" s="61">
        <v>2018</v>
      </c>
      <c r="AC399" s="9"/>
      <c r="AD399" s="104"/>
      <c r="AE399" s="104"/>
    </row>
    <row r="400" spans="1:31" ht="15.6" hidden="1" customHeight="1" x14ac:dyDescent="0.25">
      <c r="A400" s="57" t="s">
        <v>18</v>
      </c>
      <c r="B400" s="57" t="s">
        <v>18</v>
      </c>
      <c r="C400" s="57" t="s">
        <v>25</v>
      </c>
      <c r="D400" s="57" t="s">
        <v>18</v>
      </c>
      <c r="E400" s="57" t="s">
        <v>21</v>
      </c>
      <c r="F400" s="57" t="s">
        <v>18</v>
      </c>
      <c r="G400" s="57" t="s">
        <v>22</v>
      </c>
      <c r="H400" s="57" t="s">
        <v>19</v>
      </c>
      <c r="I400" s="57" t="s">
        <v>24</v>
      </c>
      <c r="J400" s="57" t="s">
        <v>18</v>
      </c>
      <c r="K400" s="57" t="s">
        <v>18</v>
      </c>
      <c r="L400" s="57" t="s">
        <v>20</v>
      </c>
      <c r="M400" s="57" t="s">
        <v>37</v>
      </c>
      <c r="N400" s="57" t="s">
        <v>18</v>
      </c>
      <c r="O400" s="57" t="s">
        <v>24</v>
      </c>
      <c r="P400" s="57" t="s">
        <v>22</v>
      </c>
      <c r="Q400" s="57" t="s">
        <v>46</v>
      </c>
      <c r="R400" s="149"/>
      <c r="S400" s="66" t="s">
        <v>0</v>
      </c>
      <c r="T400" s="1">
        <v>25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2">
        <f t="shared" si="87"/>
        <v>25</v>
      </c>
      <c r="AB400" s="61">
        <v>2018</v>
      </c>
      <c r="AC400" s="9"/>
      <c r="AD400" s="104"/>
      <c r="AE400" s="104"/>
    </row>
    <row r="401" spans="1:31" ht="15.6" hidden="1" customHeight="1" x14ac:dyDescent="0.25">
      <c r="A401" s="57" t="s">
        <v>18</v>
      </c>
      <c r="B401" s="57" t="s">
        <v>18</v>
      </c>
      <c r="C401" s="57" t="s">
        <v>25</v>
      </c>
      <c r="D401" s="57" t="s">
        <v>18</v>
      </c>
      <c r="E401" s="57" t="s">
        <v>21</v>
      </c>
      <c r="F401" s="57" t="s">
        <v>18</v>
      </c>
      <c r="G401" s="57" t="s">
        <v>22</v>
      </c>
      <c r="H401" s="57" t="s">
        <v>19</v>
      </c>
      <c r="I401" s="57" t="s">
        <v>24</v>
      </c>
      <c r="J401" s="57" t="s">
        <v>18</v>
      </c>
      <c r="K401" s="57" t="s">
        <v>18</v>
      </c>
      <c r="L401" s="57" t="s">
        <v>20</v>
      </c>
      <c r="M401" s="57" t="s">
        <v>37</v>
      </c>
      <c r="N401" s="57" t="s">
        <v>18</v>
      </c>
      <c r="O401" s="57" t="s">
        <v>24</v>
      </c>
      <c r="P401" s="57" t="s">
        <v>22</v>
      </c>
      <c r="Q401" s="57" t="s">
        <v>46</v>
      </c>
      <c r="R401" s="149"/>
      <c r="S401" s="66" t="s">
        <v>0</v>
      </c>
      <c r="T401" s="1">
        <v>212.4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/>
      <c r="AA401" s="62">
        <f t="shared" si="87"/>
        <v>212.4</v>
      </c>
      <c r="AB401" s="61">
        <v>2018</v>
      </c>
      <c r="AC401" s="9"/>
      <c r="AD401" s="104"/>
      <c r="AE401" s="104"/>
    </row>
    <row r="402" spans="1:31" ht="15.6" hidden="1" customHeight="1" x14ac:dyDescent="0.25">
      <c r="A402" s="57" t="s">
        <v>18</v>
      </c>
      <c r="B402" s="57" t="s">
        <v>18</v>
      </c>
      <c r="C402" s="57" t="s">
        <v>25</v>
      </c>
      <c r="D402" s="57" t="s">
        <v>18</v>
      </c>
      <c r="E402" s="57" t="s">
        <v>21</v>
      </c>
      <c r="F402" s="57" t="s">
        <v>18</v>
      </c>
      <c r="G402" s="57" t="s">
        <v>22</v>
      </c>
      <c r="H402" s="57" t="s">
        <v>19</v>
      </c>
      <c r="I402" s="57" t="s">
        <v>24</v>
      </c>
      <c r="J402" s="57" t="s">
        <v>18</v>
      </c>
      <c r="K402" s="57" t="s">
        <v>18</v>
      </c>
      <c r="L402" s="57" t="s">
        <v>20</v>
      </c>
      <c r="M402" s="57" t="s">
        <v>37</v>
      </c>
      <c r="N402" s="57" t="s">
        <v>18</v>
      </c>
      <c r="O402" s="57" t="s">
        <v>24</v>
      </c>
      <c r="P402" s="57" t="s">
        <v>22</v>
      </c>
      <c r="Q402" s="57" t="s">
        <v>39</v>
      </c>
      <c r="R402" s="149"/>
      <c r="S402" s="66" t="s">
        <v>0</v>
      </c>
      <c r="T402" s="1">
        <v>339.1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2">
        <f t="shared" si="87"/>
        <v>339.1</v>
      </c>
      <c r="AB402" s="61">
        <v>2018</v>
      </c>
      <c r="AC402" s="9"/>
      <c r="AD402" s="104"/>
      <c r="AE402" s="104"/>
    </row>
    <row r="403" spans="1:31" ht="31.15" hidden="1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83" t="s">
        <v>249</v>
      </c>
      <c r="S403" s="87" t="s">
        <v>183</v>
      </c>
      <c r="T403" s="3">
        <v>78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/>
      <c r="AA403" s="6">
        <f t="shared" si="87"/>
        <v>78</v>
      </c>
      <c r="AB403" s="41">
        <v>2018</v>
      </c>
      <c r="AC403" s="9"/>
      <c r="AD403" s="104"/>
      <c r="AE403" s="104"/>
    </row>
    <row r="404" spans="1:31" ht="15.6" hidden="1" customHeight="1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149" t="s">
        <v>250</v>
      </c>
      <c r="S404" s="66" t="s">
        <v>0</v>
      </c>
      <c r="T404" s="1">
        <f>SUM(T405:T408)</f>
        <v>301.2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2">
        <f t="shared" si="87"/>
        <v>301.2</v>
      </c>
      <c r="AB404" s="61">
        <v>2018</v>
      </c>
      <c r="AC404" s="9"/>
      <c r="AD404" s="104"/>
      <c r="AE404" s="104"/>
    </row>
    <row r="405" spans="1:31" ht="15.6" hidden="1" customHeight="1" x14ac:dyDescent="0.25">
      <c r="A405" s="57" t="s">
        <v>18</v>
      </c>
      <c r="B405" s="57" t="s">
        <v>18</v>
      </c>
      <c r="C405" s="57" t="s">
        <v>25</v>
      </c>
      <c r="D405" s="57" t="s">
        <v>18</v>
      </c>
      <c r="E405" s="57" t="s">
        <v>21</v>
      </c>
      <c r="F405" s="57" t="s">
        <v>18</v>
      </c>
      <c r="G405" s="57" t="s">
        <v>22</v>
      </c>
      <c r="H405" s="57" t="s">
        <v>19</v>
      </c>
      <c r="I405" s="57" t="s">
        <v>24</v>
      </c>
      <c r="J405" s="57" t="s">
        <v>18</v>
      </c>
      <c r="K405" s="57" t="s">
        <v>18</v>
      </c>
      <c r="L405" s="57" t="s">
        <v>20</v>
      </c>
      <c r="M405" s="57" t="s">
        <v>19</v>
      </c>
      <c r="N405" s="57" t="s">
        <v>18</v>
      </c>
      <c r="O405" s="57" t="s">
        <v>24</v>
      </c>
      <c r="P405" s="57" t="s">
        <v>22</v>
      </c>
      <c r="Q405" s="57" t="s">
        <v>45</v>
      </c>
      <c r="R405" s="149"/>
      <c r="S405" s="66" t="s">
        <v>0</v>
      </c>
      <c r="T405" s="1">
        <v>114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2">
        <f t="shared" si="87"/>
        <v>114</v>
      </c>
      <c r="AB405" s="61">
        <v>2018</v>
      </c>
      <c r="AC405" s="9"/>
      <c r="AD405" s="104"/>
      <c r="AE405" s="104"/>
    </row>
    <row r="406" spans="1:31" ht="15.6" hidden="1" customHeight="1" x14ac:dyDescent="0.25">
      <c r="A406" s="57" t="s">
        <v>18</v>
      </c>
      <c r="B406" s="57" t="s">
        <v>18</v>
      </c>
      <c r="C406" s="57" t="s">
        <v>25</v>
      </c>
      <c r="D406" s="57" t="s">
        <v>18</v>
      </c>
      <c r="E406" s="57" t="s">
        <v>21</v>
      </c>
      <c r="F406" s="57" t="s">
        <v>18</v>
      </c>
      <c r="G406" s="57" t="s">
        <v>22</v>
      </c>
      <c r="H406" s="57" t="s">
        <v>19</v>
      </c>
      <c r="I406" s="57" t="s">
        <v>24</v>
      </c>
      <c r="J406" s="57" t="s">
        <v>18</v>
      </c>
      <c r="K406" s="57" t="s">
        <v>18</v>
      </c>
      <c r="L406" s="57" t="s">
        <v>20</v>
      </c>
      <c r="M406" s="57" t="s">
        <v>37</v>
      </c>
      <c r="N406" s="57" t="s">
        <v>18</v>
      </c>
      <c r="O406" s="57" t="s">
        <v>24</v>
      </c>
      <c r="P406" s="57" t="s">
        <v>22</v>
      </c>
      <c r="Q406" s="57" t="s">
        <v>46</v>
      </c>
      <c r="R406" s="149"/>
      <c r="S406" s="66" t="s">
        <v>0</v>
      </c>
      <c r="T406" s="1">
        <v>10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2">
        <f t="shared" si="87"/>
        <v>10</v>
      </c>
      <c r="AB406" s="61">
        <v>2018</v>
      </c>
      <c r="AC406" s="9"/>
      <c r="AD406" s="104"/>
      <c r="AE406" s="104"/>
    </row>
    <row r="407" spans="1:31" ht="15.6" hidden="1" customHeight="1" x14ac:dyDescent="0.25">
      <c r="A407" s="57" t="s">
        <v>18</v>
      </c>
      <c r="B407" s="57" t="s">
        <v>18</v>
      </c>
      <c r="C407" s="57" t="s">
        <v>25</v>
      </c>
      <c r="D407" s="57" t="s">
        <v>18</v>
      </c>
      <c r="E407" s="57" t="s">
        <v>21</v>
      </c>
      <c r="F407" s="57" t="s">
        <v>18</v>
      </c>
      <c r="G407" s="57" t="s">
        <v>22</v>
      </c>
      <c r="H407" s="57" t="s">
        <v>19</v>
      </c>
      <c r="I407" s="57" t="s">
        <v>24</v>
      </c>
      <c r="J407" s="57" t="s">
        <v>18</v>
      </c>
      <c r="K407" s="57" t="s">
        <v>18</v>
      </c>
      <c r="L407" s="57" t="s">
        <v>20</v>
      </c>
      <c r="M407" s="57" t="s">
        <v>37</v>
      </c>
      <c r="N407" s="57" t="s">
        <v>18</v>
      </c>
      <c r="O407" s="57" t="s">
        <v>24</v>
      </c>
      <c r="P407" s="57" t="s">
        <v>22</v>
      </c>
      <c r="Q407" s="57" t="s">
        <v>46</v>
      </c>
      <c r="R407" s="149"/>
      <c r="S407" s="66" t="s">
        <v>0</v>
      </c>
      <c r="T407" s="1">
        <v>63.2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62">
        <f t="shared" si="87"/>
        <v>63.2</v>
      </c>
      <c r="AB407" s="61">
        <v>2018</v>
      </c>
      <c r="AC407" s="9"/>
      <c r="AD407" s="104"/>
      <c r="AE407" s="104"/>
    </row>
    <row r="408" spans="1:31" ht="15.6" hidden="1" customHeight="1" x14ac:dyDescent="0.25">
      <c r="A408" s="57" t="s">
        <v>18</v>
      </c>
      <c r="B408" s="57" t="s">
        <v>18</v>
      </c>
      <c r="C408" s="57" t="s">
        <v>25</v>
      </c>
      <c r="D408" s="57" t="s">
        <v>18</v>
      </c>
      <c r="E408" s="57" t="s">
        <v>21</v>
      </c>
      <c r="F408" s="57" t="s">
        <v>18</v>
      </c>
      <c r="G408" s="57" t="s">
        <v>22</v>
      </c>
      <c r="H408" s="57" t="s">
        <v>19</v>
      </c>
      <c r="I408" s="57" t="s">
        <v>24</v>
      </c>
      <c r="J408" s="57" t="s">
        <v>18</v>
      </c>
      <c r="K408" s="57" t="s">
        <v>18</v>
      </c>
      <c r="L408" s="57" t="s">
        <v>20</v>
      </c>
      <c r="M408" s="57" t="s">
        <v>37</v>
      </c>
      <c r="N408" s="57" t="s">
        <v>18</v>
      </c>
      <c r="O408" s="57" t="s">
        <v>24</v>
      </c>
      <c r="P408" s="57" t="s">
        <v>22</v>
      </c>
      <c r="Q408" s="57" t="s">
        <v>39</v>
      </c>
      <c r="R408" s="149"/>
      <c r="S408" s="66" t="s">
        <v>0</v>
      </c>
      <c r="T408" s="1">
        <v>114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2">
        <f t="shared" si="87"/>
        <v>114</v>
      </c>
      <c r="AB408" s="61">
        <v>2018</v>
      </c>
      <c r="AC408" s="9"/>
      <c r="AD408" s="104"/>
      <c r="AE408" s="104"/>
    </row>
    <row r="409" spans="1:31" ht="45" hidden="1" customHeight="1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83" t="s">
        <v>251</v>
      </c>
      <c r="S409" s="87" t="s">
        <v>50</v>
      </c>
      <c r="T409" s="44">
        <v>12</v>
      </c>
      <c r="U409" s="44">
        <v>0</v>
      </c>
      <c r="V409" s="44">
        <v>0</v>
      </c>
      <c r="W409" s="44">
        <v>0</v>
      </c>
      <c r="X409" s="44">
        <v>0</v>
      </c>
      <c r="Y409" s="44">
        <v>0</v>
      </c>
      <c r="Z409" s="44"/>
      <c r="AA409" s="52">
        <f t="shared" si="87"/>
        <v>12</v>
      </c>
      <c r="AB409" s="41">
        <v>2018</v>
      </c>
      <c r="AC409" s="9"/>
      <c r="AD409" s="104"/>
      <c r="AE409" s="104"/>
    </row>
    <row r="410" spans="1:31" ht="15.6" hidden="1" customHeight="1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149" t="s">
        <v>252</v>
      </c>
      <c r="S410" s="66" t="s">
        <v>0</v>
      </c>
      <c r="T410" s="1">
        <f>SUM(T411:T414)</f>
        <v>465.4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2">
        <f t="shared" si="87"/>
        <v>465.4</v>
      </c>
      <c r="AB410" s="61">
        <v>2018</v>
      </c>
      <c r="AC410" s="9"/>
      <c r="AD410" s="104"/>
      <c r="AE410" s="104"/>
    </row>
    <row r="411" spans="1:31" ht="15.6" hidden="1" customHeight="1" x14ac:dyDescent="0.25">
      <c r="A411" s="57" t="s">
        <v>18</v>
      </c>
      <c r="B411" s="57" t="s">
        <v>18</v>
      </c>
      <c r="C411" s="57" t="s">
        <v>25</v>
      </c>
      <c r="D411" s="57" t="s">
        <v>18</v>
      </c>
      <c r="E411" s="57" t="s">
        <v>21</v>
      </c>
      <c r="F411" s="57" t="s">
        <v>18</v>
      </c>
      <c r="G411" s="57" t="s">
        <v>22</v>
      </c>
      <c r="H411" s="57" t="s">
        <v>19</v>
      </c>
      <c r="I411" s="57" t="s">
        <v>24</v>
      </c>
      <c r="J411" s="57" t="s">
        <v>18</v>
      </c>
      <c r="K411" s="57" t="s">
        <v>18</v>
      </c>
      <c r="L411" s="57" t="s">
        <v>20</v>
      </c>
      <c r="M411" s="57" t="s">
        <v>19</v>
      </c>
      <c r="N411" s="57" t="s">
        <v>18</v>
      </c>
      <c r="O411" s="57" t="s">
        <v>24</v>
      </c>
      <c r="P411" s="57" t="s">
        <v>22</v>
      </c>
      <c r="Q411" s="57" t="s">
        <v>45</v>
      </c>
      <c r="R411" s="149"/>
      <c r="S411" s="66" t="s">
        <v>0</v>
      </c>
      <c r="T411" s="1">
        <v>178.8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2">
        <f t="shared" si="87"/>
        <v>178.8</v>
      </c>
      <c r="AB411" s="61">
        <v>2018</v>
      </c>
      <c r="AC411" s="9"/>
      <c r="AD411" s="104"/>
      <c r="AE411" s="104"/>
    </row>
    <row r="412" spans="1:31" ht="15.6" hidden="1" customHeight="1" x14ac:dyDescent="0.25">
      <c r="A412" s="57" t="s">
        <v>18</v>
      </c>
      <c r="B412" s="57" t="s">
        <v>18</v>
      </c>
      <c r="C412" s="57" t="s">
        <v>25</v>
      </c>
      <c r="D412" s="57" t="s">
        <v>18</v>
      </c>
      <c r="E412" s="57" t="s">
        <v>21</v>
      </c>
      <c r="F412" s="57" t="s">
        <v>18</v>
      </c>
      <c r="G412" s="57" t="s">
        <v>22</v>
      </c>
      <c r="H412" s="57" t="s">
        <v>19</v>
      </c>
      <c r="I412" s="57" t="s">
        <v>24</v>
      </c>
      <c r="J412" s="57" t="s">
        <v>18</v>
      </c>
      <c r="K412" s="57" t="s">
        <v>18</v>
      </c>
      <c r="L412" s="57" t="s">
        <v>20</v>
      </c>
      <c r="M412" s="57" t="s">
        <v>37</v>
      </c>
      <c r="N412" s="57" t="s">
        <v>18</v>
      </c>
      <c r="O412" s="57" t="s">
        <v>24</v>
      </c>
      <c r="P412" s="57" t="s">
        <v>22</v>
      </c>
      <c r="Q412" s="57" t="s">
        <v>46</v>
      </c>
      <c r="R412" s="149"/>
      <c r="S412" s="66" t="s">
        <v>0</v>
      </c>
      <c r="T412" s="1">
        <v>10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2">
        <f t="shared" si="87"/>
        <v>10</v>
      </c>
      <c r="AB412" s="61">
        <v>2018</v>
      </c>
      <c r="AC412" s="9"/>
      <c r="AD412" s="104"/>
      <c r="AE412" s="104"/>
    </row>
    <row r="413" spans="1:31" ht="15.6" hidden="1" customHeight="1" x14ac:dyDescent="0.25">
      <c r="A413" s="57" t="s">
        <v>18</v>
      </c>
      <c r="B413" s="57" t="s">
        <v>18</v>
      </c>
      <c r="C413" s="57" t="s">
        <v>25</v>
      </c>
      <c r="D413" s="57" t="s">
        <v>18</v>
      </c>
      <c r="E413" s="57" t="s">
        <v>21</v>
      </c>
      <c r="F413" s="57" t="s">
        <v>18</v>
      </c>
      <c r="G413" s="57" t="s">
        <v>22</v>
      </c>
      <c r="H413" s="57" t="s">
        <v>19</v>
      </c>
      <c r="I413" s="57" t="s">
        <v>24</v>
      </c>
      <c r="J413" s="57" t="s">
        <v>18</v>
      </c>
      <c r="K413" s="57" t="s">
        <v>18</v>
      </c>
      <c r="L413" s="57" t="s">
        <v>20</v>
      </c>
      <c r="M413" s="57" t="s">
        <v>37</v>
      </c>
      <c r="N413" s="57" t="s">
        <v>18</v>
      </c>
      <c r="O413" s="57" t="s">
        <v>24</v>
      </c>
      <c r="P413" s="57" t="s">
        <v>22</v>
      </c>
      <c r="Q413" s="57" t="s">
        <v>46</v>
      </c>
      <c r="R413" s="149"/>
      <c r="S413" s="66" t="s">
        <v>0</v>
      </c>
      <c r="T413" s="1">
        <v>97.7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62">
        <f t="shared" si="87"/>
        <v>97.7</v>
      </c>
      <c r="AB413" s="61">
        <v>2018</v>
      </c>
      <c r="AC413" s="9"/>
      <c r="AD413" s="104"/>
      <c r="AE413" s="104"/>
    </row>
    <row r="414" spans="1:31" ht="15.6" hidden="1" customHeight="1" x14ac:dyDescent="0.25">
      <c r="A414" s="57" t="s">
        <v>18</v>
      </c>
      <c r="B414" s="57" t="s">
        <v>18</v>
      </c>
      <c r="C414" s="57" t="s">
        <v>25</v>
      </c>
      <c r="D414" s="57" t="s">
        <v>18</v>
      </c>
      <c r="E414" s="57" t="s">
        <v>21</v>
      </c>
      <c r="F414" s="57" t="s">
        <v>18</v>
      </c>
      <c r="G414" s="57" t="s">
        <v>22</v>
      </c>
      <c r="H414" s="57" t="s">
        <v>19</v>
      </c>
      <c r="I414" s="57" t="s">
        <v>24</v>
      </c>
      <c r="J414" s="57" t="s">
        <v>18</v>
      </c>
      <c r="K414" s="57" t="s">
        <v>18</v>
      </c>
      <c r="L414" s="57" t="s">
        <v>20</v>
      </c>
      <c r="M414" s="57" t="s">
        <v>37</v>
      </c>
      <c r="N414" s="57" t="s">
        <v>18</v>
      </c>
      <c r="O414" s="57" t="s">
        <v>24</v>
      </c>
      <c r="P414" s="57" t="s">
        <v>22</v>
      </c>
      <c r="Q414" s="57" t="s">
        <v>39</v>
      </c>
      <c r="R414" s="149"/>
      <c r="S414" s="66" t="s">
        <v>0</v>
      </c>
      <c r="T414" s="1">
        <v>178.9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2">
        <f t="shared" si="87"/>
        <v>178.9</v>
      </c>
      <c r="AB414" s="61">
        <v>2018</v>
      </c>
      <c r="AC414" s="9"/>
      <c r="AD414" s="104"/>
      <c r="AE414" s="104"/>
    </row>
    <row r="415" spans="1:31" ht="41.45" hidden="1" customHeight="1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83" t="s">
        <v>253</v>
      </c>
      <c r="S415" s="87" t="s">
        <v>182</v>
      </c>
      <c r="T415" s="3">
        <v>127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/>
      <c r="AA415" s="6">
        <f t="shared" si="87"/>
        <v>127</v>
      </c>
      <c r="AB415" s="41">
        <v>2018</v>
      </c>
      <c r="AC415" s="9"/>
      <c r="AD415" s="104"/>
      <c r="AE415" s="104"/>
    </row>
    <row r="416" spans="1:31" ht="15.6" hidden="1" customHeight="1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149" t="s">
        <v>254</v>
      </c>
      <c r="S416" s="66" t="s">
        <v>0</v>
      </c>
      <c r="T416" s="1">
        <f>SUM(T417:T420)</f>
        <v>482.90000000000003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2">
        <f t="shared" si="87"/>
        <v>482.90000000000003</v>
      </c>
      <c r="AB416" s="61">
        <v>2018</v>
      </c>
      <c r="AC416" s="9"/>
      <c r="AD416" s="104"/>
      <c r="AE416" s="104"/>
    </row>
    <row r="417" spans="1:31" ht="15.6" hidden="1" customHeight="1" x14ac:dyDescent="0.25">
      <c r="A417" s="57" t="s">
        <v>18</v>
      </c>
      <c r="B417" s="57" t="s">
        <v>18</v>
      </c>
      <c r="C417" s="57" t="s">
        <v>25</v>
      </c>
      <c r="D417" s="57" t="s">
        <v>18</v>
      </c>
      <c r="E417" s="57" t="s">
        <v>21</v>
      </c>
      <c r="F417" s="57" t="s">
        <v>18</v>
      </c>
      <c r="G417" s="57" t="s">
        <v>22</v>
      </c>
      <c r="H417" s="57" t="s">
        <v>19</v>
      </c>
      <c r="I417" s="57" t="s">
        <v>24</v>
      </c>
      <c r="J417" s="57" t="s">
        <v>18</v>
      </c>
      <c r="K417" s="57" t="s">
        <v>18</v>
      </c>
      <c r="L417" s="57" t="s">
        <v>20</v>
      </c>
      <c r="M417" s="57" t="s">
        <v>19</v>
      </c>
      <c r="N417" s="57" t="s">
        <v>18</v>
      </c>
      <c r="O417" s="57" t="s">
        <v>24</v>
      </c>
      <c r="P417" s="57" t="s">
        <v>22</v>
      </c>
      <c r="Q417" s="57" t="s">
        <v>45</v>
      </c>
      <c r="R417" s="149"/>
      <c r="S417" s="66" t="s">
        <v>0</v>
      </c>
      <c r="T417" s="1">
        <v>193.2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2">
        <f t="shared" si="87"/>
        <v>193.2</v>
      </c>
      <c r="AB417" s="61">
        <v>2018</v>
      </c>
      <c r="AC417" s="9"/>
      <c r="AD417" s="104"/>
      <c r="AE417" s="104"/>
    </row>
    <row r="418" spans="1:31" ht="15.6" hidden="1" customHeight="1" x14ac:dyDescent="0.25">
      <c r="A418" s="57" t="s">
        <v>18</v>
      </c>
      <c r="B418" s="57" t="s">
        <v>18</v>
      </c>
      <c r="C418" s="57" t="s">
        <v>25</v>
      </c>
      <c r="D418" s="57" t="s">
        <v>18</v>
      </c>
      <c r="E418" s="57" t="s">
        <v>21</v>
      </c>
      <c r="F418" s="57" t="s">
        <v>18</v>
      </c>
      <c r="G418" s="57" t="s">
        <v>22</v>
      </c>
      <c r="H418" s="57" t="s">
        <v>19</v>
      </c>
      <c r="I418" s="57" t="s">
        <v>24</v>
      </c>
      <c r="J418" s="57" t="s">
        <v>18</v>
      </c>
      <c r="K418" s="57" t="s">
        <v>18</v>
      </c>
      <c r="L418" s="57" t="s">
        <v>20</v>
      </c>
      <c r="M418" s="57" t="s">
        <v>37</v>
      </c>
      <c r="N418" s="57" t="s">
        <v>18</v>
      </c>
      <c r="O418" s="57" t="s">
        <v>24</v>
      </c>
      <c r="P418" s="57" t="s">
        <v>22</v>
      </c>
      <c r="Q418" s="57" t="s">
        <v>46</v>
      </c>
      <c r="R418" s="149"/>
      <c r="S418" s="66" t="s">
        <v>0</v>
      </c>
      <c r="T418" s="1">
        <v>10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2">
        <f t="shared" si="87"/>
        <v>10</v>
      </c>
      <c r="AB418" s="61">
        <v>2018</v>
      </c>
      <c r="AC418" s="9"/>
      <c r="AD418" s="104"/>
      <c r="AE418" s="104"/>
    </row>
    <row r="419" spans="1:31" ht="15.6" hidden="1" customHeight="1" x14ac:dyDescent="0.25">
      <c r="A419" s="57" t="s">
        <v>18</v>
      </c>
      <c r="B419" s="57" t="s">
        <v>18</v>
      </c>
      <c r="C419" s="57" t="s">
        <v>25</v>
      </c>
      <c r="D419" s="57" t="s">
        <v>18</v>
      </c>
      <c r="E419" s="57" t="s">
        <v>21</v>
      </c>
      <c r="F419" s="57" t="s">
        <v>18</v>
      </c>
      <c r="G419" s="57" t="s">
        <v>22</v>
      </c>
      <c r="H419" s="57" t="s">
        <v>19</v>
      </c>
      <c r="I419" s="57" t="s">
        <v>24</v>
      </c>
      <c r="J419" s="57" t="s">
        <v>18</v>
      </c>
      <c r="K419" s="57" t="s">
        <v>18</v>
      </c>
      <c r="L419" s="57" t="s">
        <v>20</v>
      </c>
      <c r="M419" s="57" t="s">
        <v>37</v>
      </c>
      <c r="N419" s="57" t="s">
        <v>18</v>
      </c>
      <c r="O419" s="57" t="s">
        <v>24</v>
      </c>
      <c r="P419" s="57" t="s">
        <v>22</v>
      </c>
      <c r="Q419" s="57" t="s">
        <v>46</v>
      </c>
      <c r="R419" s="149"/>
      <c r="S419" s="66" t="s">
        <v>0</v>
      </c>
      <c r="T419" s="1">
        <v>101.4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62">
        <f t="shared" si="87"/>
        <v>101.4</v>
      </c>
      <c r="AB419" s="61">
        <v>2018</v>
      </c>
      <c r="AC419" s="9"/>
      <c r="AD419" s="104"/>
      <c r="AE419" s="104"/>
    </row>
    <row r="420" spans="1:31" ht="15.6" hidden="1" customHeight="1" x14ac:dyDescent="0.25">
      <c r="A420" s="57" t="s">
        <v>18</v>
      </c>
      <c r="B420" s="57" t="s">
        <v>18</v>
      </c>
      <c r="C420" s="57" t="s">
        <v>25</v>
      </c>
      <c r="D420" s="57" t="s">
        <v>18</v>
      </c>
      <c r="E420" s="57" t="s">
        <v>21</v>
      </c>
      <c r="F420" s="57" t="s">
        <v>18</v>
      </c>
      <c r="G420" s="57" t="s">
        <v>22</v>
      </c>
      <c r="H420" s="57" t="s">
        <v>19</v>
      </c>
      <c r="I420" s="57" t="s">
        <v>24</v>
      </c>
      <c r="J420" s="57" t="s">
        <v>18</v>
      </c>
      <c r="K420" s="57" t="s">
        <v>18</v>
      </c>
      <c r="L420" s="57" t="s">
        <v>20</v>
      </c>
      <c r="M420" s="57" t="s">
        <v>37</v>
      </c>
      <c r="N420" s="57" t="s">
        <v>18</v>
      </c>
      <c r="O420" s="57" t="s">
        <v>24</v>
      </c>
      <c r="P420" s="57" t="s">
        <v>22</v>
      </c>
      <c r="Q420" s="57" t="s">
        <v>39</v>
      </c>
      <c r="R420" s="149"/>
      <c r="S420" s="66" t="s">
        <v>0</v>
      </c>
      <c r="T420" s="1">
        <v>178.3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2">
        <f t="shared" si="87"/>
        <v>178.3</v>
      </c>
      <c r="AB420" s="61">
        <v>2018</v>
      </c>
      <c r="AC420" s="9"/>
      <c r="AD420" s="104"/>
      <c r="AE420" s="104"/>
    </row>
    <row r="421" spans="1:31" ht="42" hidden="1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83" t="s">
        <v>255</v>
      </c>
      <c r="S421" s="87" t="s">
        <v>182</v>
      </c>
      <c r="T421" s="3">
        <v>131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/>
      <c r="AA421" s="6">
        <f t="shared" si="87"/>
        <v>131</v>
      </c>
      <c r="AB421" s="41">
        <v>2018</v>
      </c>
      <c r="AC421" s="9"/>
      <c r="AD421" s="104"/>
      <c r="AE421" s="104"/>
    </row>
    <row r="422" spans="1:31" ht="18.75" hidden="1" customHeight="1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149" t="s">
        <v>256</v>
      </c>
      <c r="S422" s="66" t="s">
        <v>0</v>
      </c>
      <c r="T422" s="1">
        <f>SUM(T423:T425)</f>
        <v>880.6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2">
        <f t="shared" si="87"/>
        <v>880.6</v>
      </c>
      <c r="AB422" s="61">
        <v>2018</v>
      </c>
      <c r="AC422" s="9"/>
      <c r="AD422" s="104"/>
      <c r="AE422" s="104"/>
    </row>
    <row r="423" spans="1:31" ht="18.75" hidden="1" customHeight="1" x14ac:dyDescent="0.25">
      <c r="A423" s="57" t="s">
        <v>18</v>
      </c>
      <c r="B423" s="57" t="s">
        <v>18</v>
      </c>
      <c r="C423" s="57" t="s">
        <v>25</v>
      </c>
      <c r="D423" s="57" t="s">
        <v>18</v>
      </c>
      <c r="E423" s="57" t="s">
        <v>21</v>
      </c>
      <c r="F423" s="57" t="s">
        <v>18</v>
      </c>
      <c r="G423" s="57" t="s">
        <v>22</v>
      </c>
      <c r="H423" s="57" t="s">
        <v>19</v>
      </c>
      <c r="I423" s="57" t="s">
        <v>24</v>
      </c>
      <c r="J423" s="57" t="s">
        <v>18</v>
      </c>
      <c r="K423" s="57" t="s">
        <v>18</v>
      </c>
      <c r="L423" s="57" t="s">
        <v>20</v>
      </c>
      <c r="M423" s="57" t="s">
        <v>19</v>
      </c>
      <c r="N423" s="57" t="s">
        <v>18</v>
      </c>
      <c r="O423" s="57" t="s">
        <v>24</v>
      </c>
      <c r="P423" s="57" t="s">
        <v>22</v>
      </c>
      <c r="Q423" s="57" t="s">
        <v>45</v>
      </c>
      <c r="R423" s="149"/>
      <c r="S423" s="66" t="s">
        <v>0</v>
      </c>
      <c r="T423" s="1">
        <v>352.2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2">
        <f t="shared" si="87"/>
        <v>352.2</v>
      </c>
      <c r="AB423" s="61">
        <v>2018</v>
      </c>
      <c r="AC423" s="9"/>
      <c r="AD423" s="104"/>
      <c r="AE423" s="104"/>
    </row>
    <row r="424" spans="1:31" ht="18.75" hidden="1" customHeight="1" x14ac:dyDescent="0.25">
      <c r="A424" s="57" t="s">
        <v>18</v>
      </c>
      <c r="B424" s="57" t="s">
        <v>18</v>
      </c>
      <c r="C424" s="57" t="s">
        <v>25</v>
      </c>
      <c r="D424" s="57" t="s">
        <v>18</v>
      </c>
      <c r="E424" s="57" t="s">
        <v>21</v>
      </c>
      <c r="F424" s="57" t="s">
        <v>18</v>
      </c>
      <c r="G424" s="57" t="s">
        <v>22</v>
      </c>
      <c r="H424" s="57" t="s">
        <v>19</v>
      </c>
      <c r="I424" s="57" t="s">
        <v>24</v>
      </c>
      <c r="J424" s="57" t="s">
        <v>18</v>
      </c>
      <c r="K424" s="57" t="s">
        <v>18</v>
      </c>
      <c r="L424" s="57" t="s">
        <v>20</v>
      </c>
      <c r="M424" s="57" t="s">
        <v>37</v>
      </c>
      <c r="N424" s="57" t="s">
        <v>18</v>
      </c>
      <c r="O424" s="57" t="s">
        <v>24</v>
      </c>
      <c r="P424" s="57" t="s">
        <v>22</v>
      </c>
      <c r="Q424" s="57" t="s">
        <v>46</v>
      </c>
      <c r="R424" s="149"/>
      <c r="S424" s="66" t="s">
        <v>0</v>
      </c>
      <c r="T424" s="1">
        <v>140.9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2">
        <f t="shared" si="87"/>
        <v>140.9</v>
      </c>
      <c r="AB424" s="61">
        <v>2018</v>
      </c>
      <c r="AC424" s="9"/>
      <c r="AD424" s="104"/>
      <c r="AE424" s="104"/>
    </row>
    <row r="425" spans="1:31" ht="18.75" hidden="1" customHeight="1" x14ac:dyDescent="0.25">
      <c r="A425" s="57" t="s">
        <v>18</v>
      </c>
      <c r="B425" s="57" t="s">
        <v>18</v>
      </c>
      <c r="C425" s="57" t="s">
        <v>25</v>
      </c>
      <c r="D425" s="57" t="s">
        <v>18</v>
      </c>
      <c r="E425" s="57" t="s">
        <v>21</v>
      </c>
      <c r="F425" s="57" t="s">
        <v>18</v>
      </c>
      <c r="G425" s="57" t="s">
        <v>22</v>
      </c>
      <c r="H425" s="57" t="s">
        <v>19</v>
      </c>
      <c r="I425" s="57" t="s">
        <v>24</v>
      </c>
      <c r="J425" s="57" t="s">
        <v>18</v>
      </c>
      <c r="K425" s="57" t="s">
        <v>18</v>
      </c>
      <c r="L425" s="57" t="s">
        <v>20</v>
      </c>
      <c r="M425" s="57" t="s">
        <v>37</v>
      </c>
      <c r="N425" s="57" t="s">
        <v>18</v>
      </c>
      <c r="O425" s="57" t="s">
        <v>24</v>
      </c>
      <c r="P425" s="57" t="s">
        <v>22</v>
      </c>
      <c r="Q425" s="57" t="s">
        <v>39</v>
      </c>
      <c r="R425" s="149"/>
      <c r="S425" s="66" t="s">
        <v>0</v>
      </c>
      <c r="T425" s="1">
        <v>387.5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62">
        <f t="shared" si="87"/>
        <v>387.5</v>
      </c>
      <c r="AB425" s="61">
        <v>2018</v>
      </c>
      <c r="AC425" s="9"/>
      <c r="AD425" s="104"/>
      <c r="AE425" s="104"/>
    </row>
    <row r="426" spans="1:31" ht="46.15" hidden="1" customHeight="1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81" t="s">
        <v>257</v>
      </c>
      <c r="S426" s="87" t="s">
        <v>182</v>
      </c>
      <c r="T426" s="3">
        <v>600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/>
      <c r="AA426" s="6">
        <f t="shared" si="87"/>
        <v>600</v>
      </c>
      <c r="AB426" s="41">
        <v>2018</v>
      </c>
      <c r="AC426" s="9"/>
      <c r="AD426" s="104"/>
      <c r="AE426" s="104"/>
    </row>
    <row r="427" spans="1:31" ht="15.6" hidden="1" customHeight="1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149" t="s">
        <v>258</v>
      </c>
      <c r="S427" s="66" t="s">
        <v>0</v>
      </c>
      <c r="T427" s="1">
        <f>SUM(T428:T431)</f>
        <v>293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2">
        <f t="shared" si="87"/>
        <v>293</v>
      </c>
      <c r="AB427" s="61">
        <v>2018</v>
      </c>
      <c r="AC427" s="9"/>
      <c r="AD427" s="104"/>
      <c r="AE427" s="104"/>
    </row>
    <row r="428" spans="1:31" ht="15.6" hidden="1" customHeight="1" x14ac:dyDescent="0.25">
      <c r="A428" s="57" t="s">
        <v>18</v>
      </c>
      <c r="B428" s="57" t="s">
        <v>18</v>
      </c>
      <c r="C428" s="57" t="s">
        <v>25</v>
      </c>
      <c r="D428" s="57" t="s">
        <v>18</v>
      </c>
      <c r="E428" s="57" t="s">
        <v>21</v>
      </c>
      <c r="F428" s="57" t="s">
        <v>18</v>
      </c>
      <c r="G428" s="57" t="s">
        <v>22</v>
      </c>
      <c r="H428" s="57" t="s">
        <v>19</v>
      </c>
      <c r="I428" s="57" t="s">
        <v>24</v>
      </c>
      <c r="J428" s="57" t="s">
        <v>18</v>
      </c>
      <c r="K428" s="57" t="s">
        <v>18</v>
      </c>
      <c r="L428" s="57" t="s">
        <v>20</v>
      </c>
      <c r="M428" s="57" t="s">
        <v>19</v>
      </c>
      <c r="N428" s="57" t="s">
        <v>18</v>
      </c>
      <c r="O428" s="57" t="s">
        <v>24</v>
      </c>
      <c r="P428" s="57" t="s">
        <v>22</v>
      </c>
      <c r="Q428" s="57" t="s">
        <v>45</v>
      </c>
      <c r="R428" s="149"/>
      <c r="S428" s="66" t="s">
        <v>0</v>
      </c>
      <c r="T428" s="1">
        <v>117.2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2">
        <f t="shared" si="87"/>
        <v>117.2</v>
      </c>
      <c r="AB428" s="61">
        <v>2018</v>
      </c>
      <c r="AC428" s="9"/>
      <c r="AD428" s="104"/>
      <c r="AE428" s="104"/>
    </row>
    <row r="429" spans="1:31" ht="15.6" hidden="1" customHeight="1" x14ac:dyDescent="0.25">
      <c r="A429" s="57" t="s">
        <v>18</v>
      </c>
      <c r="B429" s="57" t="s">
        <v>18</v>
      </c>
      <c r="C429" s="57" t="s">
        <v>25</v>
      </c>
      <c r="D429" s="57" t="s">
        <v>18</v>
      </c>
      <c r="E429" s="57" t="s">
        <v>21</v>
      </c>
      <c r="F429" s="57" t="s">
        <v>18</v>
      </c>
      <c r="G429" s="57" t="s">
        <v>22</v>
      </c>
      <c r="H429" s="57" t="s">
        <v>19</v>
      </c>
      <c r="I429" s="57" t="s">
        <v>24</v>
      </c>
      <c r="J429" s="57" t="s">
        <v>18</v>
      </c>
      <c r="K429" s="57" t="s">
        <v>18</v>
      </c>
      <c r="L429" s="57" t="s">
        <v>20</v>
      </c>
      <c r="M429" s="57" t="s">
        <v>37</v>
      </c>
      <c r="N429" s="57" t="s">
        <v>18</v>
      </c>
      <c r="O429" s="57" t="s">
        <v>24</v>
      </c>
      <c r="P429" s="57" t="s">
        <v>22</v>
      </c>
      <c r="Q429" s="57" t="s">
        <v>46</v>
      </c>
      <c r="R429" s="149"/>
      <c r="S429" s="66" t="s">
        <v>0</v>
      </c>
      <c r="T429" s="1">
        <v>22.6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2">
        <f t="shared" si="87"/>
        <v>22.6</v>
      </c>
      <c r="AB429" s="61">
        <v>2018</v>
      </c>
      <c r="AC429" s="9"/>
      <c r="AD429" s="104"/>
      <c r="AE429" s="104"/>
    </row>
    <row r="430" spans="1:31" ht="15.6" hidden="1" customHeight="1" x14ac:dyDescent="0.25">
      <c r="A430" s="57" t="s">
        <v>18</v>
      </c>
      <c r="B430" s="57" t="s">
        <v>18</v>
      </c>
      <c r="C430" s="57" t="s">
        <v>25</v>
      </c>
      <c r="D430" s="57" t="s">
        <v>18</v>
      </c>
      <c r="E430" s="57" t="s">
        <v>21</v>
      </c>
      <c r="F430" s="57" t="s">
        <v>18</v>
      </c>
      <c r="G430" s="57" t="s">
        <v>22</v>
      </c>
      <c r="H430" s="57" t="s">
        <v>19</v>
      </c>
      <c r="I430" s="57" t="s">
        <v>24</v>
      </c>
      <c r="J430" s="57" t="s">
        <v>18</v>
      </c>
      <c r="K430" s="57" t="s">
        <v>18</v>
      </c>
      <c r="L430" s="57" t="s">
        <v>20</v>
      </c>
      <c r="M430" s="57" t="s">
        <v>37</v>
      </c>
      <c r="N430" s="57" t="s">
        <v>18</v>
      </c>
      <c r="O430" s="57" t="s">
        <v>24</v>
      </c>
      <c r="P430" s="57" t="s">
        <v>22</v>
      </c>
      <c r="Q430" s="57" t="s">
        <v>46</v>
      </c>
      <c r="R430" s="149"/>
      <c r="S430" s="66" t="s">
        <v>0</v>
      </c>
      <c r="T430" s="1">
        <v>61.5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62">
        <f t="shared" si="87"/>
        <v>61.5</v>
      </c>
      <c r="AB430" s="61">
        <v>2018</v>
      </c>
      <c r="AC430" s="9"/>
      <c r="AD430" s="104"/>
      <c r="AE430" s="104"/>
    </row>
    <row r="431" spans="1:31" ht="15.6" hidden="1" customHeight="1" x14ac:dyDescent="0.25">
      <c r="A431" s="57" t="s">
        <v>18</v>
      </c>
      <c r="B431" s="57" t="s">
        <v>18</v>
      </c>
      <c r="C431" s="57" t="s">
        <v>25</v>
      </c>
      <c r="D431" s="57" t="s">
        <v>18</v>
      </c>
      <c r="E431" s="57" t="s">
        <v>21</v>
      </c>
      <c r="F431" s="57" t="s">
        <v>18</v>
      </c>
      <c r="G431" s="57" t="s">
        <v>22</v>
      </c>
      <c r="H431" s="57" t="s">
        <v>19</v>
      </c>
      <c r="I431" s="57" t="s">
        <v>24</v>
      </c>
      <c r="J431" s="57" t="s">
        <v>18</v>
      </c>
      <c r="K431" s="57" t="s">
        <v>18</v>
      </c>
      <c r="L431" s="57" t="s">
        <v>20</v>
      </c>
      <c r="M431" s="57" t="s">
        <v>37</v>
      </c>
      <c r="N431" s="57" t="s">
        <v>18</v>
      </c>
      <c r="O431" s="57" t="s">
        <v>24</v>
      </c>
      <c r="P431" s="57" t="s">
        <v>22</v>
      </c>
      <c r="Q431" s="57" t="s">
        <v>39</v>
      </c>
      <c r="R431" s="149"/>
      <c r="S431" s="66" t="s">
        <v>0</v>
      </c>
      <c r="T431" s="1">
        <v>91.7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2">
        <f t="shared" si="87"/>
        <v>91.7</v>
      </c>
      <c r="AB431" s="61">
        <v>2018</v>
      </c>
      <c r="AC431" s="9"/>
      <c r="AD431" s="104"/>
      <c r="AE431" s="104"/>
    </row>
    <row r="432" spans="1:31" ht="31.15" hidden="1" customHeight="1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83" t="s">
        <v>259</v>
      </c>
      <c r="S432" s="87" t="s">
        <v>183</v>
      </c>
      <c r="T432" s="3">
        <v>126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/>
      <c r="AA432" s="6">
        <f t="shared" si="87"/>
        <v>126</v>
      </c>
      <c r="AB432" s="41">
        <v>2018</v>
      </c>
      <c r="AC432" s="9"/>
      <c r="AD432" s="104"/>
      <c r="AE432" s="104"/>
    </row>
    <row r="433" spans="1:31" ht="15.6" hidden="1" customHeight="1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149" t="s">
        <v>260</v>
      </c>
      <c r="S433" s="66" t="s">
        <v>0</v>
      </c>
      <c r="T433" s="1">
        <f>SUM(T434:T437)</f>
        <v>470.59999999999997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2">
        <f t="shared" si="87"/>
        <v>470.59999999999997</v>
      </c>
      <c r="AB433" s="61">
        <v>2018</v>
      </c>
      <c r="AC433" s="9"/>
      <c r="AD433" s="104"/>
      <c r="AE433" s="104"/>
    </row>
    <row r="434" spans="1:31" ht="15.6" hidden="1" customHeight="1" x14ac:dyDescent="0.25">
      <c r="A434" s="57" t="s">
        <v>18</v>
      </c>
      <c r="B434" s="57" t="s">
        <v>18</v>
      </c>
      <c r="C434" s="57" t="s">
        <v>25</v>
      </c>
      <c r="D434" s="57" t="s">
        <v>18</v>
      </c>
      <c r="E434" s="57" t="s">
        <v>21</v>
      </c>
      <c r="F434" s="57" t="s">
        <v>18</v>
      </c>
      <c r="G434" s="57" t="s">
        <v>22</v>
      </c>
      <c r="H434" s="57" t="s">
        <v>19</v>
      </c>
      <c r="I434" s="57" t="s">
        <v>24</v>
      </c>
      <c r="J434" s="57" t="s">
        <v>18</v>
      </c>
      <c r="K434" s="57" t="s">
        <v>18</v>
      </c>
      <c r="L434" s="57" t="s">
        <v>20</v>
      </c>
      <c r="M434" s="57" t="s">
        <v>19</v>
      </c>
      <c r="N434" s="57" t="s">
        <v>18</v>
      </c>
      <c r="O434" s="57" t="s">
        <v>24</v>
      </c>
      <c r="P434" s="57" t="s">
        <v>22</v>
      </c>
      <c r="Q434" s="57" t="s">
        <v>45</v>
      </c>
      <c r="R434" s="149"/>
      <c r="S434" s="66" t="s">
        <v>0</v>
      </c>
      <c r="T434" s="1">
        <v>188.2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2">
        <f t="shared" si="87"/>
        <v>188.2</v>
      </c>
      <c r="AB434" s="61">
        <v>2018</v>
      </c>
      <c r="AC434" s="9"/>
      <c r="AD434" s="104"/>
      <c r="AE434" s="104"/>
    </row>
    <row r="435" spans="1:31" ht="15.6" hidden="1" customHeight="1" x14ac:dyDescent="0.25">
      <c r="A435" s="57" t="s">
        <v>18</v>
      </c>
      <c r="B435" s="57" t="s">
        <v>18</v>
      </c>
      <c r="C435" s="57" t="s">
        <v>25</v>
      </c>
      <c r="D435" s="57" t="s">
        <v>18</v>
      </c>
      <c r="E435" s="57" t="s">
        <v>21</v>
      </c>
      <c r="F435" s="57" t="s">
        <v>18</v>
      </c>
      <c r="G435" s="57" t="s">
        <v>22</v>
      </c>
      <c r="H435" s="57" t="s">
        <v>19</v>
      </c>
      <c r="I435" s="57" t="s">
        <v>24</v>
      </c>
      <c r="J435" s="57" t="s">
        <v>18</v>
      </c>
      <c r="K435" s="57" t="s">
        <v>18</v>
      </c>
      <c r="L435" s="57" t="s">
        <v>20</v>
      </c>
      <c r="M435" s="57" t="s">
        <v>37</v>
      </c>
      <c r="N435" s="57" t="s">
        <v>18</v>
      </c>
      <c r="O435" s="57" t="s">
        <v>24</v>
      </c>
      <c r="P435" s="57" t="s">
        <v>22</v>
      </c>
      <c r="Q435" s="57" t="s">
        <v>46</v>
      </c>
      <c r="R435" s="149"/>
      <c r="S435" s="66" t="s">
        <v>0</v>
      </c>
      <c r="T435" s="1">
        <v>35.1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2">
        <f t="shared" si="87"/>
        <v>35.1</v>
      </c>
      <c r="AB435" s="61">
        <v>2018</v>
      </c>
      <c r="AC435" s="9"/>
      <c r="AD435" s="104"/>
      <c r="AE435" s="104"/>
    </row>
    <row r="436" spans="1:31" ht="15.6" hidden="1" customHeight="1" x14ac:dyDescent="0.25">
      <c r="A436" s="57" t="s">
        <v>18</v>
      </c>
      <c r="B436" s="57" t="s">
        <v>18</v>
      </c>
      <c r="C436" s="57" t="s">
        <v>25</v>
      </c>
      <c r="D436" s="57" t="s">
        <v>18</v>
      </c>
      <c r="E436" s="57" t="s">
        <v>21</v>
      </c>
      <c r="F436" s="57" t="s">
        <v>18</v>
      </c>
      <c r="G436" s="57" t="s">
        <v>22</v>
      </c>
      <c r="H436" s="57" t="s">
        <v>19</v>
      </c>
      <c r="I436" s="57" t="s">
        <v>24</v>
      </c>
      <c r="J436" s="57" t="s">
        <v>18</v>
      </c>
      <c r="K436" s="57" t="s">
        <v>18</v>
      </c>
      <c r="L436" s="57" t="s">
        <v>20</v>
      </c>
      <c r="M436" s="57" t="s">
        <v>37</v>
      </c>
      <c r="N436" s="57" t="s">
        <v>18</v>
      </c>
      <c r="O436" s="57" t="s">
        <v>24</v>
      </c>
      <c r="P436" s="57" t="s">
        <v>22</v>
      </c>
      <c r="Q436" s="57" t="s">
        <v>46</v>
      </c>
      <c r="R436" s="149"/>
      <c r="S436" s="66" t="s">
        <v>0</v>
      </c>
      <c r="T436" s="1">
        <v>98.8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62">
        <f t="shared" si="87"/>
        <v>98.8</v>
      </c>
      <c r="AB436" s="61">
        <v>2018</v>
      </c>
      <c r="AC436" s="9"/>
      <c r="AD436" s="104"/>
      <c r="AE436" s="104"/>
    </row>
    <row r="437" spans="1:31" ht="15.6" hidden="1" customHeight="1" x14ac:dyDescent="0.25">
      <c r="A437" s="57" t="s">
        <v>18</v>
      </c>
      <c r="B437" s="57" t="s">
        <v>18</v>
      </c>
      <c r="C437" s="57" t="s">
        <v>25</v>
      </c>
      <c r="D437" s="57" t="s">
        <v>18</v>
      </c>
      <c r="E437" s="57" t="s">
        <v>21</v>
      </c>
      <c r="F437" s="57" t="s">
        <v>18</v>
      </c>
      <c r="G437" s="57" t="s">
        <v>22</v>
      </c>
      <c r="H437" s="57" t="s">
        <v>19</v>
      </c>
      <c r="I437" s="57" t="s">
        <v>24</v>
      </c>
      <c r="J437" s="57" t="s">
        <v>18</v>
      </c>
      <c r="K437" s="57" t="s">
        <v>18</v>
      </c>
      <c r="L437" s="57" t="s">
        <v>20</v>
      </c>
      <c r="M437" s="57" t="s">
        <v>37</v>
      </c>
      <c r="N437" s="57" t="s">
        <v>18</v>
      </c>
      <c r="O437" s="57" t="s">
        <v>24</v>
      </c>
      <c r="P437" s="57" t="s">
        <v>22</v>
      </c>
      <c r="Q437" s="57" t="s">
        <v>39</v>
      </c>
      <c r="R437" s="149"/>
      <c r="S437" s="66" t="s">
        <v>0</v>
      </c>
      <c r="T437" s="1">
        <v>148.5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2">
        <f t="shared" si="87"/>
        <v>148.5</v>
      </c>
      <c r="AB437" s="61">
        <v>2018</v>
      </c>
      <c r="AC437" s="9"/>
      <c r="AD437" s="104"/>
      <c r="AE437" s="104"/>
    </row>
    <row r="438" spans="1:31" ht="31.15" hidden="1" customHeight="1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83" t="s">
        <v>261</v>
      </c>
      <c r="S438" s="87" t="s">
        <v>182</v>
      </c>
      <c r="T438" s="3">
        <v>131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/>
      <c r="AA438" s="6">
        <f t="shared" si="87"/>
        <v>131</v>
      </c>
      <c r="AB438" s="41">
        <v>2018</v>
      </c>
      <c r="AC438" s="9"/>
      <c r="AD438" s="104"/>
      <c r="AE438" s="104"/>
    </row>
    <row r="439" spans="1:31" ht="15.6" hidden="1" customHeight="1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149" t="s">
        <v>262</v>
      </c>
      <c r="S439" s="66" t="s">
        <v>0</v>
      </c>
      <c r="T439" s="1">
        <f>SUM(T440:T443)</f>
        <v>879.8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62">
        <f t="shared" si="87"/>
        <v>879.8</v>
      </c>
      <c r="AB439" s="61">
        <v>2018</v>
      </c>
      <c r="AC439" s="9"/>
      <c r="AD439" s="104"/>
      <c r="AE439" s="104"/>
    </row>
    <row r="440" spans="1:31" ht="15.6" hidden="1" customHeight="1" x14ac:dyDescent="0.25">
      <c r="A440" s="57" t="s">
        <v>18</v>
      </c>
      <c r="B440" s="57" t="s">
        <v>18</v>
      </c>
      <c r="C440" s="57" t="s">
        <v>25</v>
      </c>
      <c r="D440" s="57" t="s">
        <v>18</v>
      </c>
      <c r="E440" s="57" t="s">
        <v>21</v>
      </c>
      <c r="F440" s="57" t="s">
        <v>18</v>
      </c>
      <c r="G440" s="57" t="s">
        <v>22</v>
      </c>
      <c r="H440" s="57" t="s">
        <v>19</v>
      </c>
      <c r="I440" s="57" t="s">
        <v>24</v>
      </c>
      <c r="J440" s="57" t="s">
        <v>18</v>
      </c>
      <c r="K440" s="57" t="s">
        <v>18</v>
      </c>
      <c r="L440" s="57" t="s">
        <v>20</v>
      </c>
      <c r="M440" s="57" t="s">
        <v>19</v>
      </c>
      <c r="N440" s="57" t="s">
        <v>18</v>
      </c>
      <c r="O440" s="57" t="s">
        <v>24</v>
      </c>
      <c r="P440" s="57" t="s">
        <v>22</v>
      </c>
      <c r="Q440" s="57" t="s">
        <v>45</v>
      </c>
      <c r="R440" s="149"/>
      <c r="S440" s="66" t="s">
        <v>0</v>
      </c>
      <c r="T440" s="1">
        <v>350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2">
        <f t="shared" si="87"/>
        <v>350</v>
      </c>
      <c r="AB440" s="61">
        <v>2018</v>
      </c>
      <c r="AC440" s="9"/>
      <c r="AD440" s="104"/>
      <c r="AE440" s="104"/>
    </row>
    <row r="441" spans="1:31" ht="15.6" hidden="1" customHeight="1" x14ac:dyDescent="0.25">
      <c r="A441" s="57" t="s">
        <v>18</v>
      </c>
      <c r="B441" s="57" t="s">
        <v>18</v>
      </c>
      <c r="C441" s="57" t="s">
        <v>25</v>
      </c>
      <c r="D441" s="57" t="s">
        <v>18</v>
      </c>
      <c r="E441" s="57" t="s">
        <v>21</v>
      </c>
      <c r="F441" s="57" t="s">
        <v>18</v>
      </c>
      <c r="G441" s="57" t="s">
        <v>22</v>
      </c>
      <c r="H441" s="57" t="s">
        <v>19</v>
      </c>
      <c r="I441" s="57" t="s">
        <v>24</v>
      </c>
      <c r="J441" s="57" t="s">
        <v>18</v>
      </c>
      <c r="K441" s="57" t="s">
        <v>18</v>
      </c>
      <c r="L441" s="57" t="s">
        <v>20</v>
      </c>
      <c r="M441" s="57" t="s">
        <v>37</v>
      </c>
      <c r="N441" s="57" t="s">
        <v>18</v>
      </c>
      <c r="O441" s="57" t="s">
        <v>24</v>
      </c>
      <c r="P441" s="57" t="s">
        <v>22</v>
      </c>
      <c r="Q441" s="57" t="s">
        <v>46</v>
      </c>
      <c r="R441" s="149"/>
      <c r="S441" s="66" t="s">
        <v>0</v>
      </c>
      <c r="T441" s="1">
        <v>10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2">
        <f t="shared" si="87"/>
        <v>10</v>
      </c>
      <c r="AB441" s="61">
        <v>2018</v>
      </c>
      <c r="AC441" s="9"/>
      <c r="AD441" s="104"/>
      <c r="AE441" s="104"/>
    </row>
    <row r="442" spans="1:31" ht="15.6" hidden="1" customHeight="1" x14ac:dyDescent="0.25">
      <c r="A442" s="57" t="s">
        <v>18</v>
      </c>
      <c r="B442" s="57" t="s">
        <v>18</v>
      </c>
      <c r="C442" s="57" t="s">
        <v>25</v>
      </c>
      <c r="D442" s="57" t="s">
        <v>18</v>
      </c>
      <c r="E442" s="57" t="s">
        <v>21</v>
      </c>
      <c r="F442" s="57" t="s">
        <v>18</v>
      </c>
      <c r="G442" s="57" t="s">
        <v>22</v>
      </c>
      <c r="H442" s="57" t="s">
        <v>19</v>
      </c>
      <c r="I442" s="57" t="s">
        <v>24</v>
      </c>
      <c r="J442" s="57" t="s">
        <v>18</v>
      </c>
      <c r="K442" s="57" t="s">
        <v>18</v>
      </c>
      <c r="L442" s="57" t="s">
        <v>20</v>
      </c>
      <c r="M442" s="57" t="s">
        <v>37</v>
      </c>
      <c r="N442" s="57" t="s">
        <v>18</v>
      </c>
      <c r="O442" s="57" t="s">
        <v>24</v>
      </c>
      <c r="P442" s="57" t="s">
        <v>22</v>
      </c>
      <c r="Q442" s="57" t="s">
        <v>46</v>
      </c>
      <c r="R442" s="149"/>
      <c r="S442" s="66" t="s">
        <v>0</v>
      </c>
      <c r="T442" s="1">
        <v>141.69999999999999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62">
        <f t="shared" si="87"/>
        <v>141.69999999999999</v>
      </c>
      <c r="AB442" s="61">
        <v>2018</v>
      </c>
      <c r="AC442" s="9"/>
      <c r="AD442" s="104"/>
      <c r="AE442" s="104"/>
    </row>
    <row r="443" spans="1:31" ht="15.6" hidden="1" customHeight="1" x14ac:dyDescent="0.25">
      <c r="A443" s="57" t="s">
        <v>18</v>
      </c>
      <c r="B443" s="57" t="s">
        <v>18</v>
      </c>
      <c r="C443" s="57" t="s">
        <v>25</v>
      </c>
      <c r="D443" s="57" t="s">
        <v>18</v>
      </c>
      <c r="E443" s="57" t="s">
        <v>21</v>
      </c>
      <c r="F443" s="57" t="s">
        <v>18</v>
      </c>
      <c r="G443" s="57" t="s">
        <v>22</v>
      </c>
      <c r="H443" s="57" t="s">
        <v>19</v>
      </c>
      <c r="I443" s="57" t="s">
        <v>24</v>
      </c>
      <c r="J443" s="57" t="s">
        <v>18</v>
      </c>
      <c r="K443" s="57" t="s">
        <v>18</v>
      </c>
      <c r="L443" s="57" t="s">
        <v>20</v>
      </c>
      <c r="M443" s="57" t="s">
        <v>37</v>
      </c>
      <c r="N443" s="57" t="s">
        <v>18</v>
      </c>
      <c r="O443" s="57" t="s">
        <v>24</v>
      </c>
      <c r="P443" s="57" t="s">
        <v>22</v>
      </c>
      <c r="Q443" s="57" t="s">
        <v>39</v>
      </c>
      <c r="R443" s="149"/>
      <c r="S443" s="66" t="s">
        <v>0</v>
      </c>
      <c r="T443" s="1">
        <v>378.1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2">
        <f t="shared" si="87"/>
        <v>378.1</v>
      </c>
      <c r="AB443" s="61">
        <v>2018</v>
      </c>
      <c r="AC443" s="9"/>
      <c r="AD443" s="104"/>
      <c r="AE443" s="104"/>
    </row>
    <row r="444" spans="1:31" ht="27.6" hidden="1" customHeight="1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93" t="s">
        <v>263</v>
      </c>
      <c r="S444" s="92" t="s">
        <v>182</v>
      </c>
      <c r="T444" s="3">
        <v>500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/>
      <c r="AA444" s="6">
        <f t="shared" si="87"/>
        <v>500</v>
      </c>
      <c r="AB444" s="41">
        <v>2018</v>
      </c>
      <c r="AC444" s="9"/>
      <c r="AD444" s="104"/>
      <c r="AE444" s="104"/>
    </row>
    <row r="445" spans="1:31" ht="17.25" hidden="1" customHeight="1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149" t="s">
        <v>264</v>
      </c>
      <c r="S445" s="66" t="s">
        <v>0</v>
      </c>
      <c r="T445" s="1">
        <f>SUM(T446:T449)</f>
        <v>811.21499999999992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62">
        <f t="shared" si="87"/>
        <v>811.21499999999992</v>
      </c>
      <c r="AB445" s="61">
        <v>2018</v>
      </c>
      <c r="AC445" s="9"/>
      <c r="AD445" s="104"/>
      <c r="AE445" s="104"/>
    </row>
    <row r="446" spans="1:31" ht="15.6" hidden="1" customHeight="1" x14ac:dyDescent="0.25">
      <c r="A446" s="57" t="s">
        <v>18</v>
      </c>
      <c r="B446" s="57" t="s">
        <v>18</v>
      </c>
      <c r="C446" s="57" t="s">
        <v>25</v>
      </c>
      <c r="D446" s="57" t="s">
        <v>18</v>
      </c>
      <c r="E446" s="57" t="s">
        <v>21</v>
      </c>
      <c r="F446" s="57" t="s">
        <v>18</v>
      </c>
      <c r="G446" s="57" t="s">
        <v>22</v>
      </c>
      <c r="H446" s="57" t="s">
        <v>19</v>
      </c>
      <c r="I446" s="57" t="s">
        <v>24</v>
      </c>
      <c r="J446" s="57" t="s">
        <v>18</v>
      </c>
      <c r="K446" s="57" t="s">
        <v>18</v>
      </c>
      <c r="L446" s="57" t="s">
        <v>20</v>
      </c>
      <c r="M446" s="57" t="s">
        <v>19</v>
      </c>
      <c r="N446" s="57" t="s">
        <v>18</v>
      </c>
      <c r="O446" s="57" t="s">
        <v>24</v>
      </c>
      <c r="P446" s="57" t="s">
        <v>22</v>
      </c>
      <c r="Q446" s="57" t="s">
        <v>45</v>
      </c>
      <c r="R446" s="149"/>
      <c r="S446" s="66" t="s">
        <v>0</v>
      </c>
      <c r="T446" s="1">
        <v>324.51499999999999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2">
        <f t="shared" si="87"/>
        <v>324.51499999999999</v>
      </c>
      <c r="AB446" s="61">
        <v>2018</v>
      </c>
      <c r="AC446" s="9"/>
      <c r="AD446" s="104"/>
      <c r="AE446" s="104"/>
    </row>
    <row r="447" spans="1:31" ht="15.6" hidden="1" customHeight="1" x14ac:dyDescent="0.25">
      <c r="A447" s="57" t="s">
        <v>18</v>
      </c>
      <c r="B447" s="57" t="s">
        <v>18</v>
      </c>
      <c r="C447" s="57" t="s">
        <v>25</v>
      </c>
      <c r="D447" s="57" t="s">
        <v>18</v>
      </c>
      <c r="E447" s="57" t="s">
        <v>21</v>
      </c>
      <c r="F447" s="57" t="s">
        <v>18</v>
      </c>
      <c r="G447" s="57" t="s">
        <v>22</v>
      </c>
      <c r="H447" s="57" t="s">
        <v>19</v>
      </c>
      <c r="I447" s="57" t="s">
        <v>24</v>
      </c>
      <c r="J447" s="57" t="s">
        <v>18</v>
      </c>
      <c r="K447" s="57" t="s">
        <v>18</v>
      </c>
      <c r="L447" s="57" t="s">
        <v>20</v>
      </c>
      <c r="M447" s="57" t="s">
        <v>37</v>
      </c>
      <c r="N447" s="57" t="s">
        <v>18</v>
      </c>
      <c r="O447" s="57" t="s">
        <v>24</v>
      </c>
      <c r="P447" s="57" t="s">
        <v>22</v>
      </c>
      <c r="Q447" s="57" t="s">
        <v>46</v>
      </c>
      <c r="R447" s="149"/>
      <c r="S447" s="66" t="s">
        <v>0</v>
      </c>
      <c r="T447" s="1">
        <v>15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2">
        <f t="shared" si="87"/>
        <v>15</v>
      </c>
      <c r="AB447" s="61">
        <v>2018</v>
      </c>
      <c r="AC447" s="9"/>
      <c r="AD447" s="104"/>
      <c r="AE447" s="104"/>
    </row>
    <row r="448" spans="1:31" ht="15.6" hidden="1" customHeight="1" x14ac:dyDescent="0.25">
      <c r="A448" s="57" t="s">
        <v>18</v>
      </c>
      <c r="B448" s="57" t="s">
        <v>18</v>
      </c>
      <c r="C448" s="57" t="s">
        <v>25</v>
      </c>
      <c r="D448" s="57" t="s">
        <v>18</v>
      </c>
      <c r="E448" s="57" t="s">
        <v>21</v>
      </c>
      <c r="F448" s="57" t="s">
        <v>18</v>
      </c>
      <c r="G448" s="57" t="s">
        <v>22</v>
      </c>
      <c r="H448" s="57" t="s">
        <v>19</v>
      </c>
      <c r="I448" s="57" t="s">
        <v>24</v>
      </c>
      <c r="J448" s="57" t="s">
        <v>18</v>
      </c>
      <c r="K448" s="57" t="s">
        <v>18</v>
      </c>
      <c r="L448" s="57" t="s">
        <v>20</v>
      </c>
      <c r="M448" s="57" t="s">
        <v>37</v>
      </c>
      <c r="N448" s="57" t="s">
        <v>18</v>
      </c>
      <c r="O448" s="57" t="s">
        <v>24</v>
      </c>
      <c r="P448" s="57" t="s">
        <v>22</v>
      </c>
      <c r="Q448" s="57" t="s">
        <v>46</v>
      </c>
      <c r="R448" s="149"/>
      <c r="S448" s="66" t="s">
        <v>0</v>
      </c>
      <c r="T448" s="1">
        <v>170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62">
        <f t="shared" si="87"/>
        <v>170</v>
      </c>
      <c r="AB448" s="61">
        <v>2018</v>
      </c>
      <c r="AC448" s="9"/>
      <c r="AD448" s="104"/>
      <c r="AE448" s="104"/>
    </row>
    <row r="449" spans="1:31" ht="15.6" hidden="1" customHeight="1" x14ac:dyDescent="0.25">
      <c r="A449" s="57" t="s">
        <v>18</v>
      </c>
      <c r="B449" s="57" t="s">
        <v>18</v>
      </c>
      <c r="C449" s="57" t="s">
        <v>25</v>
      </c>
      <c r="D449" s="57" t="s">
        <v>18</v>
      </c>
      <c r="E449" s="57" t="s">
        <v>21</v>
      </c>
      <c r="F449" s="57" t="s">
        <v>18</v>
      </c>
      <c r="G449" s="57" t="s">
        <v>22</v>
      </c>
      <c r="H449" s="57" t="s">
        <v>19</v>
      </c>
      <c r="I449" s="57" t="s">
        <v>24</v>
      </c>
      <c r="J449" s="57" t="s">
        <v>18</v>
      </c>
      <c r="K449" s="57" t="s">
        <v>18</v>
      </c>
      <c r="L449" s="57" t="s">
        <v>20</v>
      </c>
      <c r="M449" s="57" t="s">
        <v>37</v>
      </c>
      <c r="N449" s="57" t="s">
        <v>18</v>
      </c>
      <c r="O449" s="57" t="s">
        <v>24</v>
      </c>
      <c r="P449" s="57" t="s">
        <v>22</v>
      </c>
      <c r="Q449" s="57" t="s">
        <v>39</v>
      </c>
      <c r="R449" s="149"/>
      <c r="S449" s="66" t="s">
        <v>0</v>
      </c>
      <c r="T449" s="1">
        <v>301.7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2">
        <f t="shared" si="87"/>
        <v>301.7</v>
      </c>
      <c r="AB449" s="61">
        <v>2018</v>
      </c>
      <c r="AC449" s="9"/>
      <c r="AD449" s="104"/>
      <c r="AE449" s="104"/>
    </row>
    <row r="450" spans="1:31" ht="31.15" hidden="1" customHeight="1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83" t="s">
        <v>265</v>
      </c>
      <c r="S450" s="87" t="s">
        <v>8</v>
      </c>
      <c r="T450" s="44">
        <v>1</v>
      </c>
      <c r="U450" s="44">
        <v>0</v>
      </c>
      <c r="V450" s="44">
        <v>0</v>
      </c>
      <c r="W450" s="44">
        <v>0</v>
      </c>
      <c r="X450" s="44">
        <v>0</v>
      </c>
      <c r="Y450" s="44">
        <v>0</v>
      </c>
      <c r="Z450" s="44"/>
      <c r="AA450" s="52">
        <f t="shared" si="87"/>
        <v>1</v>
      </c>
      <c r="AB450" s="41">
        <v>2018</v>
      </c>
      <c r="AC450" s="9"/>
      <c r="AD450" s="104"/>
      <c r="AE450" s="104"/>
    </row>
    <row r="451" spans="1:31" ht="15.6" hidden="1" customHeight="1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149" t="s">
        <v>266</v>
      </c>
      <c r="S451" s="66" t="s">
        <v>0</v>
      </c>
      <c r="T451" s="1">
        <f>SUM(T452:T455)</f>
        <v>1054.8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62">
        <f t="shared" si="87"/>
        <v>1054.8</v>
      </c>
      <c r="AB451" s="61">
        <v>2018</v>
      </c>
      <c r="AC451" s="9"/>
      <c r="AD451" s="104"/>
      <c r="AE451" s="104"/>
    </row>
    <row r="452" spans="1:31" ht="15.6" hidden="1" customHeight="1" x14ac:dyDescent="0.25">
      <c r="A452" s="57" t="s">
        <v>18</v>
      </c>
      <c r="B452" s="57" t="s">
        <v>18</v>
      </c>
      <c r="C452" s="57" t="s">
        <v>25</v>
      </c>
      <c r="D452" s="57" t="s">
        <v>18</v>
      </c>
      <c r="E452" s="57" t="s">
        <v>21</v>
      </c>
      <c r="F452" s="57" t="s">
        <v>18</v>
      </c>
      <c r="G452" s="57" t="s">
        <v>22</v>
      </c>
      <c r="H452" s="57" t="s">
        <v>19</v>
      </c>
      <c r="I452" s="57" t="s">
        <v>24</v>
      </c>
      <c r="J452" s="57" t="s">
        <v>18</v>
      </c>
      <c r="K452" s="57" t="s">
        <v>18</v>
      </c>
      <c r="L452" s="57" t="s">
        <v>20</v>
      </c>
      <c r="M452" s="57" t="s">
        <v>19</v>
      </c>
      <c r="N452" s="57" t="s">
        <v>18</v>
      </c>
      <c r="O452" s="57" t="s">
        <v>24</v>
      </c>
      <c r="P452" s="57" t="s">
        <v>22</v>
      </c>
      <c r="Q452" s="57" t="s">
        <v>45</v>
      </c>
      <c r="R452" s="149"/>
      <c r="S452" s="66" t="s">
        <v>0</v>
      </c>
      <c r="T452" s="1">
        <v>396.1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62">
        <f t="shared" si="87"/>
        <v>396.1</v>
      </c>
      <c r="AB452" s="61">
        <v>2018</v>
      </c>
      <c r="AC452" s="9"/>
      <c r="AD452" s="104"/>
      <c r="AE452" s="104"/>
    </row>
    <row r="453" spans="1:31" ht="15.6" hidden="1" customHeight="1" x14ac:dyDescent="0.25">
      <c r="A453" s="57" t="s">
        <v>18</v>
      </c>
      <c r="B453" s="57" t="s">
        <v>18</v>
      </c>
      <c r="C453" s="57" t="s">
        <v>25</v>
      </c>
      <c r="D453" s="57" t="s">
        <v>18</v>
      </c>
      <c r="E453" s="57" t="s">
        <v>21</v>
      </c>
      <c r="F453" s="57" t="s">
        <v>18</v>
      </c>
      <c r="G453" s="57" t="s">
        <v>22</v>
      </c>
      <c r="H453" s="57" t="s">
        <v>19</v>
      </c>
      <c r="I453" s="57" t="s">
        <v>24</v>
      </c>
      <c r="J453" s="57" t="s">
        <v>18</v>
      </c>
      <c r="K453" s="57" t="s">
        <v>18</v>
      </c>
      <c r="L453" s="57" t="s">
        <v>20</v>
      </c>
      <c r="M453" s="57" t="s">
        <v>37</v>
      </c>
      <c r="N453" s="57" t="s">
        <v>18</v>
      </c>
      <c r="O453" s="57" t="s">
        <v>24</v>
      </c>
      <c r="P453" s="57" t="s">
        <v>22</v>
      </c>
      <c r="Q453" s="57" t="s">
        <v>46</v>
      </c>
      <c r="R453" s="149"/>
      <c r="S453" s="66" t="s">
        <v>0</v>
      </c>
      <c r="T453" s="1">
        <v>5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62">
        <f t="shared" si="87"/>
        <v>5</v>
      </c>
      <c r="AB453" s="61">
        <v>2018</v>
      </c>
      <c r="AC453" s="9"/>
      <c r="AD453" s="104"/>
      <c r="AE453" s="104"/>
    </row>
    <row r="454" spans="1:31" ht="15.6" hidden="1" customHeight="1" x14ac:dyDescent="0.25">
      <c r="A454" s="57" t="s">
        <v>18</v>
      </c>
      <c r="B454" s="57" t="s">
        <v>18</v>
      </c>
      <c r="C454" s="57" t="s">
        <v>25</v>
      </c>
      <c r="D454" s="57" t="s">
        <v>18</v>
      </c>
      <c r="E454" s="57" t="s">
        <v>21</v>
      </c>
      <c r="F454" s="57" t="s">
        <v>18</v>
      </c>
      <c r="G454" s="57" t="s">
        <v>22</v>
      </c>
      <c r="H454" s="57" t="s">
        <v>19</v>
      </c>
      <c r="I454" s="57" t="s">
        <v>24</v>
      </c>
      <c r="J454" s="57" t="s">
        <v>18</v>
      </c>
      <c r="K454" s="57" t="s">
        <v>18</v>
      </c>
      <c r="L454" s="57" t="s">
        <v>20</v>
      </c>
      <c r="M454" s="57" t="s">
        <v>37</v>
      </c>
      <c r="N454" s="57" t="s">
        <v>18</v>
      </c>
      <c r="O454" s="57" t="s">
        <v>24</v>
      </c>
      <c r="P454" s="57" t="s">
        <v>22</v>
      </c>
      <c r="Q454" s="57" t="s">
        <v>46</v>
      </c>
      <c r="R454" s="149"/>
      <c r="S454" s="66" t="s">
        <v>0</v>
      </c>
      <c r="T454" s="1">
        <v>253.7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62">
        <f t="shared" si="87"/>
        <v>253.7</v>
      </c>
      <c r="AB454" s="61">
        <v>2018</v>
      </c>
      <c r="AC454" s="9"/>
      <c r="AD454" s="104"/>
      <c r="AE454" s="104"/>
    </row>
    <row r="455" spans="1:31" ht="15.6" hidden="1" customHeight="1" x14ac:dyDescent="0.25">
      <c r="A455" s="57" t="s">
        <v>18</v>
      </c>
      <c r="B455" s="57" t="s">
        <v>18</v>
      </c>
      <c r="C455" s="57" t="s">
        <v>25</v>
      </c>
      <c r="D455" s="57" t="s">
        <v>18</v>
      </c>
      <c r="E455" s="57" t="s">
        <v>21</v>
      </c>
      <c r="F455" s="57" t="s">
        <v>18</v>
      </c>
      <c r="G455" s="57" t="s">
        <v>22</v>
      </c>
      <c r="H455" s="57" t="s">
        <v>19</v>
      </c>
      <c r="I455" s="57" t="s">
        <v>24</v>
      </c>
      <c r="J455" s="57" t="s">
        <v>18</v>
      </c>
      <c r="K455" s="57" t="s">
        <v>18</v>
      </c>
      <c r="L455" s="57" t="s">
        <v>20</v>
      </c>
      <c r="M455" s="57" t="s">
        <v>37</v>
      </c>
      <c r="N455" s="57" t="s">
        <v>18</v>
      </c>
      <c r="O455" s="57" t="s">
        <v>24</v>
      </c>
      <c r="P455" s="57" t="s">
        <v>22</v>
      </c>
      <c r="Q455" s="57" t="s">
        <v>39</v>
      </c>
      <c r="R455" s="149"/>
      <c r="S455" s="66" t="s">
        <v>0</v>
      </c>
      <c r="T455" s="1">
        <v>400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62">
        <f t="shared" si="87"/>
        <v>400</v>
      </c>
      <c r="AB455" s="61">
        <v>2018</v>
      </c>
      <c r="AC455" s="9"/>
      <c r="AD455" s="104"/>
      <c r="AE455" s="104"/>
    </row>
    <row r="456" spans="1:31" ht="31.15" hidden="1" customHeight="1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83" t="s">
        <v>267</v>
      </c>
      <c r="S456" s="87" t="s">
        <v>8</v>
      </c>
      <c r="T456" s="44">
        <v>1</v>
      </c>
      <c r="U456" s="44">
        <v>0</v>
      </c>
      <c r="V456" s="44">
        <v>0</v>
      </c>
      <c r="W456" s="44">
        <v>0</v>
      </c>
      <c r="X456" s="44">
        <v>0</v>
      </c>
      <c r="Y456" s="44">
        <v>0</v>
      </c>
      <c r="Z456" s="44"/>
      <c r="AA456" s="52">
        <f>SUM(T456:Y456)</f>
        <v>1</v>
      </c>
      <c r="AB456" s="41">
        <v>2018</v>
      </c>
      <c r="AC456" s="9"/>
      <c r="AD456" s="104"/>
      <c r="AE456" s="104"/>
    </row>
    <row r="457" spans="1:31" ht="31.5" x14ac:dyDescent="0.25">
      <c r="A457" s="57" t="s">
        <v>18</v>
      </c>
      <c r="B457" s="57" t="s">
        <v>19</v>
      </c>
      <c r="C457" s="57" t="s">
        <v>20</v>
      </c>
      <c r="D457" s="57" t="s">
        <v>18</v>
      </c>
      <c r="E457" s="57" t="s">
        <v>24</v>
      </c>
      <c r="F457" s="57" t="s">
        <v>18</v>
      </c>
      <c r="G457" s="57" t="s">
        <v>43</v>
      </c>
      <c r="H457" s="57" t="s">
        <v>19</v>
      </c>
      <c r="I457" s="57" t="s">
        <v>24</v>
      </c>
      <c r="J457" s="57" t="s">
        <v>18</v>
      </c>
      <c r="K457" s="57" t="s">
        <v>18</v>
      </c>
      <c r="L457" s="57" t="s">
        <v>20</v>
      </c>
      <c r="M457" s="57" t="s">
        <v>37</v>
      </c>
      <c r="N457" s="57" t="s">
        <v>18</v>
      </c>
      <c r="O457" s="57" t="s">
        <v>24</v>
      </c>
      <c r="P457" s="57" t="s">
        <v>22</v>
      </c>
      <c r="Q457" s="57" t="s">
        <v>18</v>
      </c>
      <c r="R457" s="80" t="s">
        <v>141</v>
      </c>
      <c r="S457" s="58" t="s">
        <v>0</v>
      </c>
      <c r="T457" s="1">
        <f>10000-9745-255</f>
        <v>0</v>
      </c>
      <c r="U457" s="1">
        <f>226.8-200-26.8</f>
        <v>0</v>
      </c>
      <c r="V457" s="1">
        <v>8228.2999999999993</v>
      </c>
      <c r="W457" s="1">
        <v>8228.2999999999993</v>
      </c>
      <c r="X457" s="1">
        <v>8228.2999999999993</v>
      </c>
      <c r="Y457" s="1">
        <v>8228.2999999999993</v>
      </c>
      <c r="Z457" s="1">
        <v>8228.2999999999993</v>
      </c>
      <c r="AA457" s="62">
        <f t="shared" ref="AA457:AA476" si="88">SUM(T457:Z457)</f>
        <v>41141.5</v>
      </c>
      <c r="AB457" s="61">
        <v>2024</v>
      </c>
      <c r="AC457" s="122"/>
      <c r="AD457" s="104"/>
      <c r="AE457" s="104"/>
    </row>
    <row r="458" spans="1:31" ht="47.25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81" t="s">
        <v>331</v>
      </c>
      <c r="S458" s="65" t="s">
        <v>52</v>
      </c>
      <c r="T458" s="3">
        <v>0</v>
      </c>
      <c r="U458" s="3">
        <v>0</v>
      </c>
      <c r="V458" s="3">
        <v>7</v>
      </c>
      <c r="W458" s="3">
        <v>7</v>
      </c>
      <c r="X458" s="3">
        <v>7</v>
      </c>
      <c r="Y458" s="3">
        <v>7</v>
      </c>
      <c r="Z458" s="3">
        <v>7</v>
      </c>
      <c r="AA458" s="6">
        <f t="shared" si="88"/>
        <v>35</v>
      </c>
      <c r="AB458" s="41">
        <v>2024</v>
      </c>
      <c r="AC458" s="132"/>
      <c r="AD458" s="104"/>
      <c r="AE458" s="104"/>
    </row>
    <row r="459" spans="1:31" ht="63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81" t="s">
        <v>332</v>
      </c>
      <c r="S459" s="65" t="s">
        <v>38</v>
      </c>
      <c r="T459" s="44">
        <v>0</v>
      </c>
      <c r="U459" s="44">
        <v>0</v>
      </c>
      <c r="V459" s="44">
        <v>7</v>
      </c>
      <c r="W459" s="44">
        <v>7</v>
      </c>
      <c r="X459" s="44">
        <v>7</v>
      </c>
      <c r="Y459" s="44">
        <v>7</v>
      </c>
      <c r="Z459" s="44">
        <v>7</v>
      </c>
      <c r="AA459" s="52">
        <f t="shared" si="88"/>
        <v>35</v>
      </c>
      <c r="AB459" s="41">
        <v>2024</v>
      </c>
      <c r="AC459" s="132"/>
      <c r="AD459" s="104"/>
      <c r="AE459" s="104"/>
    </row>
    <row r="460" spans="1:31" s="54" customFormat="1" ht="47.25" x14ac:dyDescent="0.25">
      <c r="A460" s="57"/>
      <c r="B460" s="57"/>
      <c r="C460" s="57"/>
      <c r="D460" s="57" t="s">
        <v>18</v>
      </c>
      <c r="E460" s="57" t="s">
        <v>21</v>
      </c>
      <c r="F460" s="57" t="s">
        <v>18</v>
      </c>
      <c r="G460" s="57" t="s">
        <v>22</v>
      </c>
      <c r="H460" s="57" t="s">
        <v>19</v>
      </c>
      <c r="I460" s="57" t="s">
        <v>24</v>
      </c>
      <c r="J460" s="57" t="s">
        <v>18</v>
      </c>
      <c r="K460" s="57" t="s">
        <v>272</v>
      </c>
      <c r="L460" s="57" t="s">
        <v>20</v>
      </c>
      <c r="M460" s="57" t="s">
        <v>21</v>
      </c>
      <c r="N460" s="57" t="s">
        <v>21</v>
      </c>
      <c r="O460" s="57" t="s">
        <v>21</v>
      </c>
      <c r="P460" s="57" t="s">
        <v>21</v>
      </c>
      <c r="Q460" s="57" t="s">
        <v>20</v>
      </c>
      <c r="R460" s="143" t="s">
        <v>345</v>
      </c>
      <c r="S460" s="61" t="s">
        <v>0</v>
      </c>
      <c r="T460" s="62">
        <f>T463+T466+T469+T472</f>
        <v>0</v>
      </c>
      <c r="U460" s="62">
        <f t="shared" ref="U460:X460" si="89">U463+U466+U469+U472</f>
        <v>0</v>
      </c>
      <c r="V460" s="62">
        <f t="shared" si="89"/>
        <v>9662.06</v>
      </c>
      <c r="W460" s="62">
        <f t="shared" si="89"/>
        <v>9662</v>
      </c>
      <c r="X460" s="62">
        <f t="shared" si="89"/>
        <v>9662</v>
      </c>
      <c r="Y460" s="62">
        <f>Y463+Y466+Y469+Y472</f>
        <v>10762</v>
      </c>
      <c r="Z460" s="62">
        <f t="shared" ref="Z460" si="90">Z463+Z466+Z469+Z472</f>
        <v>10762</v>
      </c>
      <c r="AA460" s="62">
        <f t="shared" si="88"/>
        <v>50510.06</v>
      </c>
      <c r="AB460" s="61">
        <v>2024</v>
      </c>
      <c r="AC460" s="33"/>
      <c r="AD460" s="53"/>
    </row>
    <row r="461" spans="1:31" s="54" customFormat="1" ht="31.5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40" t="s">
        <v>244</v>
      </c>
      <c r="S461" s="55" t="s">
        <v>38</v>
      </c>
      <c r="T461" s="44">
        <f>T464+T467+T470+T473</f>
        <v>0</v>
      </c>
      <c r="U461" s="44">
        <f t="shared" ref="U461:X461" si="91">U464+U467+U470+U473</f>
        <v>0</v>
      </c>
      <c r="V461" s="44">
        <f t="shared" si="91"/>
        <v>33</v>
      </c>
      <c r="W461" s="44">
        <f t="shared" si="91"/>
        <v>30</v>
      </c>
      <c r="X461" s="44">
        <f t="shared" si="91"/>
        <v>30</v>
      </c>
      <c r="Y461" s="44">
        <f t="shared" ref="Y461:Z461" si="92">Y464+Y467+Y470+Y473</f>
        <v>30</v>
      </c>
      <c r="Z461" s="44">
        <f t="shared" si="92"/>
        <v>30</v>
      </c>
      <c r="AA461" s="52">
        <f t="shared" si="88"/>
        <v>153</v>
      </c>
      <c r="AB461" s="146">
        <v>2024</v>
      </c>
      <c r="AC461" s="33"/>
      <c r="AD461" s="53"/>
    </row>
    <row r="462" spans="1:31" s="8" customFormat="1" ht="31.5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64" t="s">
        <v>245</v>
      </c>
      <c r="S462" s="65" t="s">
        <v>52</v>
      </c>
      <c r="T462" s="65">
        <f>T465+T468+T471+T474</f>
        <v>0</v>
      </c>
      <c r="U462" s="65">
        <f>U465+U468+U471+U474</f>
        <v>0</v>
      </c>
      <c r="V462" s="65">
        <f t="shared" ref="V462:X462" si="93">V465+V468+V471+V474</f>
        <v>50.5</v>
      </c>
      <c r="W462" s="65">
        <f t="shared" si="93"/>
        <v>58.2</v>
      </c>
      <c r="X462" s="65">
        <f t="shared" si="93"/>
        <v>58.2</v>
      </c>
      <c r="Y462" s="65">
        <f t="shared" ref="Y462:Z462" si="94">Y465+Y468+Y471+Y474</f>
        <v>58.2</v>
      </c>
      <c r="Z462" s="65">
        <f t="shared" si="94"/>
        <v>58.2</v>
      </c>
      <c r="AA462" s="56">
        <f t="shared" si="88"/>
        <v>283.3</v>
      </c>
      <c r="AB462" s="146">
        <v>2024</v>
      </c>
      <c r="AC462" s="33"/>
      <c r="AD462" s="63"/>
    </row>
    <row r="463" spans="1:31" s="54" customFormat="1" ht="47.25" x14ac:dyDescent="0.25">
      <c r="A463" s="57" t="s">
        <v>18</v>
      </c>
      <c r="B463" s="57" t="s">
        <v>18</v>
      </c>
      <c r="C463" s="57" t="s">
        <v>22</v>
      </c>
      <c r="D463" s="57" t="s">
        <v>18</v>
      </c>
      <c r="E463" s="57" t="s">
        <v>21</v>
      </c>
      <c r="F463" s="57" t="s">
        <v>18</v>
      </c>
      <c r="G463" s="57" t="s">
        <v>22</v>
      </c>
      <c r="H463" s="57" t="s">
        <v>19</v>
      </c>
      <c r="I463" s="57" t="s">
        <v>24</v>
      </c>
      <c r="J463" s="57" t="s">
        <v>18</v>
      </c>
      <c r="K463" s="57" t="s">
        <v>272</v>
      </c>
      <c r="L463" s="57" t="s">
        <v>20</v>
      </c>
      <c r="M463" s="57" t="s">
        <v>21</v>
      </c>
      <c r="N463" s="57" t="s">
        <v>21</v>
      </c>
      <c r="O463" s="57" t="s">
        <v>21</v>
      </c>
      <c r="P463" s="57" t="s">
        <v>21</v>
      </c>
      <c r="Q463" s="57" t="s">
        <v>20</v>
      </c>
      <c r="R463" s="143" t="s">
        <v>345</v>
      </c>
      <c r="S463" s="58" t="s">
        <v>0</v>
      </c>
      <c r="T463" s="1">
        <v>0</v>
      </c>
      <c r="U463" s="1">
        <f>3100.4-200-2900.4</f>
        <v>0</v>
      </c>
      <c r="V463" s="1">
        <v>2000.4</v>
      </c>
      <c r="W463" s="1">
        <v>2000.4</v>
      </c>
      <c r="X463" s="1">
        <v>2000.4</v>
      </c>
      <c r="Y463" s="1">
        <v>3100.4</v>
      </c>
      <c r="Z463" s="1">
        <v>3100.4</v>
      </c>
      <c r="AA463" s="62">
        <f t="shared" si="88"/>
        <v>12202</v>
      </c>
      <c r="AB463" s="61">
        <v>2024</v>
      </c>
      <c r="AC463" s="33"/>
      <c r="AD463" s="53"/>
    </row>
    <row r="464" spans="1:31" s="54" customFormat="1" ht="47.25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40" t="s">
        <v>134</v>
      </c>
      <c r="S464" s="55" t="s">
        <v>38</v>
      </c>
      <c r="T464" s="44">
        <v>0</v>
      </c>
      <c r="U464" s="44">
        <v>0</v>
      </c>
      <c r="V464" s="44">
        <v>12</v>
      </c>
      <c r="W464" s="44">
        <v>12</v>
      </c>
      <c r="X464" s="44">
        <v>12</v>
      </c>
      <c r="Y464" s="44">
        <v>12</v>
      </c>
      <c r="Z464" s="44">
        <v>12</v>
      </c>
      <c r="AA464" s="52">
        <f t="shared" si="88"/>
        <v>60</v>
      </c>
      <c r="AB464" s="146">
        <v>2024</v>
      </c>
      <c r="AC464" s="33"/>
      <c r="AD464" s="53"/>
    </row>
    <row r="465" spans="1:30" s="54" customFormat="1" ht="47.25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40" t="s">
        <v>135</v>
      </c>
      <c r="S465" s="55" t="s">
        <v>52</v>
      </c>
      <c r="T465" s="3">
        <v>0</v>
      </c>
      <c r="U465" s="3">
        <v>0</v>
      </c>
      <c r="V465" s="3">
        <v>10.7</v>
      </c>
      <c r="W465" s="3">
        <v>19</v>
      </c>
      <c r="X465" s="3">
        <v>19</v>
      </c>
      <c r="Y465" s="3">
        <v>19</v>
      </c>
      <c r="Z465" s="3">
        <v>19</v>
      </c>
      <c r="AA465" s="56">
        <f t="shared" si="88"/>
        <v>86.7</v>
      </c>
      <c r="AB465" s="146">
        <v>2024</v>
      </c>
      <c r="AC465" s="33"/>
      <c r="AD465" s="53"/>
    </row>
    <row r="466" spans="1:30" s="54" customFormat="1" ht="47.25" x14ac:dyDescent="0.25">
      <c r="A466" s="57" t="s">
        <v>18</v>
      </c>
      <c r="B466" s="57" t="s">
        <v>18</v>
      </c>
      <c r="C466" s="57" t="s">
        <v>24</v>
      </c>
      <c r="D466" s="57" t="s">
        <v>18</v>
      </c>
      <c r="E466" s="57" t="s">
        <v>21</v>
      </c>
      <c r="F466" s="57" t="s">
        <v>18</v>
      </c>
      <c r="G466" s="57" t="s">
        <v>22</v>
      </c>
      <c r="H466" s="57" t="s">
        <v>19</v>
      </c>
      <c r="I466" s="57" t="s">
        <v>24</v>
      </c>
      <c r="J466" s="57" t="s">
        <v>18</v>
      </c>
      <c r="K466" s="57" t="s">
        <v>272</v>
      </c>
      <c r="L466" s="57" t="s">
        <v>20</v>
      </c>
      <c r="M466" s="57" t="s">
        <v>21</v>
      </c>
      <c r="N466" s="57" t="s">
        <v>21</v>
      </c>
      <c r="O466" s="57" t="s">
        <v>21</v>
      </c>
      <c r="P466" s="57" t="s">
        <v>21</v>
      </c>
      <c r="Q466" s="57" t="s">
        <v>20</v>
      </c>
      <c r="R466" s="143" t="s">
        <v>345</v>
      </c>
      <c r="S466" s="58" t="s">
        <v>0</v>
      </c>
      <c r="T466" s="1">
        <v>0</v>
      </c>
      <c r="U466" s="1">
        <f>2000-100-1900</f>
        <v>0</v>
      </c>
      <c r="V466" s="1">
        <v>2000</v>
      </c>
      <c r="W466" s="1">
        <v>2000</v>
      </c>
      <c r="X466" s="1">
        <v>2000</v>
      </c>
      <c r="Y466" s="1">
        <v>2000</v>
      </c>
      <c r="Z466" s="1">
        <v>2000</v>
      </c>
      <c r="AA466" s="62">
        <f t="shared" si="88"/>
        <v>10000</v>
      </c>
      <c r="AB466" s="61">
        <v>2024</v>
      </c>
      <c r="AC466" s="33"/>
      <c r="AD466" s="53"/>
    </row>
    <row r="467" spans="1:30" s="54" customFormat="1" ht="47.25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40" t="s">
        <v>280</v>
      </c>
      <c r="S467" s="55" t="s">
        <v>38</v>
      </c>
      <c r="T467" s="44">
        <v>0</v>
      </c>
      <c r="U467" s="44">
        <v>0</v>
      </c>
      <c r="V467" s="44">
        <v>9</v>
      </c>
      <c r="W467" s="44">
        <v>9</v>
      </c>
      <c r="X467" s="44">
        <v>9</v>
      </c>
      <c r="Y467" s="44">
        <v>9</v>
      </c>
      <c r="Z467" s="44">
        <v>9</v>
      </c>
      <c r="AA467" s="52">
        <f t="shared" si="88"/>
        <v>45</v>
      </c>
      <c r="AB467" s="146">
        <v>2024</v>
      </c>
      <c r="AC467" s="33"/>
      <c r="AD467" s="53"/>
    </row>
    <row r="468" spans="1:30" s="54" customFormat="1" ht="47.25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40" t="s">
        <v>281</v>
      </c>
      <c r="S468" s="55" t="s">
        <v>52</v>
      </c>
      <c r="T468" s="3">
        <v>0</v>
      </c>
      <c r="U468" s="3">
        <v>0</v>
      </c>
      <c r="V468" s="3">
        <v>14.3</v>
      </c>
      <c r="W468" s="3">
        <v>14.3</v>
      </c>
      <c r="X468" s="3">
        <v>14.3</v>
      </c>
      <c r="Y468" s="3">
        <v>14.3</v>
      </c>
      <c r="Z468" s="3">
        <v>14.3</v>
      </c>
      <c r="AA468" s="56">
        <f t="shared" si="88"/>
        <v>71.5</v>
      </c>
      <c r="AB468" s="146">
        <v>2024</v>
      </c>
      <c r="AC468" s="125"/>
      <c r="AD468" s="116"/>
    </row>
    <row r="469" spans="1:30" s="54" customFormat="1" ht="47.25" x14ac:dyDescent="0.25">
      <c r="A469" s="57" t="s">
        <v>18</v>
      </c>
      <c r="B469" s="57" t="s">
        <v>18</v>
      </c>
      <c r="C469" s="57" t="s">
        <v>21</v>
      </c>
      <c r="D469" s="57" t="s">
        <v>18</v>
      </c>
      <c r="E469" s="57" t="s">
        <v>21</v>
      </c>
      <c r="F469" s="57" t="s">
        <v>18</v>
      </c>
      <c r="G469" s="57" t="s">
        <v>22</v>
      </c>
      <c r="H469" s="57" t="s">
        <v>19</v>
      </c>
      <c r="I469" s="57" t="s">
        <v>24</v>
      </c>
      <c r="J469" s="57" t="s">
        <v>18</v>
      </c>
      <c r="K469" s="57" t="s">
        <v>272</v>
      </c>
      <c r="L469" s="57" t="s">
        <v>20</v>
      </c>
      <c r="M469" s="57" t="s">
        <v>21</v>
      </c>
      <c r="N469" s="57" t="s">
        <v>21</v>
      </c>
      <c r="O469" s="57" t="s">
        <v>21</v>
      </c>
      <c r="P469" s="57" t="s">
        <v>21</v>
      </c>
      <c r="Q469" s="57" t="s">
        <v>20</v>
      </c>
      <c r="R469" s="143" t="s">
        <v>346</v>
      </c>
      <c r="S469" s="58" t="s">
        <v>0</v>
      </c>
      <c r="T469" s="1">
        <v>0</v>
      </c>
      <c r="U469" s="1">
        <f>2860.5-100-2760.5</f>
        <v>0</v>
      </c>
      <c r="V469" s="1">
        <v>2860.56</v>
      </c>
      <c r="W469" s="1">
        <v>2860.5</v>
      </c>
      <c r="X469" s="1">
        <v>2860.5</v>
      </c>
      <c r="Y469" s="1">
        <v>2860.5</v>
      </c>
      <c r="Z469" s="1">
        <v>2860.5</v>
      </c>
      <c r="AA469" s="62">
        <f t="shared" si="88"/>
        <v>14302.56</v>
      </c>
      <c r="AB469" s="61">
        <v>2024</v>
      </c>
      <c r="AC469" s="33"/>
      <c r="AD469" s="53"/>
    </row>
    <row r="470" spans="1:30" s="54" customFormat="1" ht="47.25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40" t="s">
        <v>282</v>
      </c>
      <c r="S470" s="55" t="s">
        <v>38</v>
      </c>
      <c r="T470" s="44">
        <v>0</v>
      </c>
      <c r="U470" s="44">
        <v>0</v>
      </c>
      <c r="V470" s="44">
        <v>2</v>
      </c>
      <c r="W470" s="44">
        <v>2</v>
      </c>
      <c r="X470" s="44">
        <v>2</v>
      </c>
      <c r="Y470" s="44">
        <v>2</v>
      </c>
      <c r="Z470" s="44">
        <v>2</v>
      </c>
      <c r="AA470" s="52">
        <f t="shared" si="88"/>
        <v>10</v>
      </c>
      <c r="AB470" s="146">
        <v>2024</v>
      </c>
      <c r="AC470" s="33"/>
      <c r="AD470" s="53"/>
    </row>
    <row r="471" spans="1:30" s="54" customFormat="1" ht="47.25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40" t="s">
        <v>283</v>
      </c>
      <c r="S471" s="55" t="s">
        <v>52</v>
      </c>
      <c r="T471" s="3">
        <v>0</v>
      </c>
      <c r="U471" s="3">
        <v>0</v>
      </c>
      <c r="V471" s="3">
        <v>15.3</v>
      </c>
      <c r="W471" s="3">
        <v>13.6</v>
      </c>
      <c r="X471" s="3">
        <v>13.6</v>
      </c>
      <c r="Y471" s="3">
        <v>13.6</v>
      </c>
      <c r="Z471" s="3">
        <v>13.6</v>
      </c>
      <c r="AA471" s="56">
        <f t="shared" si="88"/>
        <v>69.7</v>
      </c>
      <c r="AB471" s="146">
        <v>2024</v>
      </c>
      <c r="AC471" s="33"/>
      <c r="AD471" s="53"/>
    </row>
    <row r="472" spans="1:30" s="54" customFormat="1" ht="47.25" x14ac:dyDescent="0.25">
      <c r="A472" s="57" t="s">
        <v>18</v>
      </c>
      <c r="B472" s="57" t="s">
        <v>18</v>
      </c>
      <c r="C472" s="57" t="s">
        <v>25</v>
      </c>
      <c r="D472" s="57" t="s">
        <v>18</v>
      </c>
      <c r="E472" s="57" t="s">
        <v>21</v>
      </c>
      <c r="F472" s="57" t="s">
        <v>18</v>
      </c>
      <c r="G472" s="57" t="s">
        <v>22</v>
      </c>
      <c r="H472" s="57" t="s">
        <v>19</v>
      </c>
      <c r="I472" s="57" t="s">
        <v>24</v>
      </c>
      <c r="J472" s="57" t="s">
        <v>18</v>
      </c>
      <c r="K472" s="57" t="s">
        <v>272</v>
      </c>
      <c r="L472" s="57" t="s">
        <v>20</v>
      </c>
      <c r="M472" s="57" t="s">
        <v>21</v>
      </c>
      <c r="N472" s="57" t="s">
        <v>21</v>
      </c>
      <c r="O472" s="57" t="s">
        <v>21</v>
      </c>
      <c r="P472" s="57" t="s">
        <v>21</v>
      </c>
      <c r="Q472" s="57" t="s">
        <v>20</v>
      </c>
      <c r="R472" s="143" t="s">
        <v>345</v>
      </c>
      <c r="S472" s="58" t="s">
        <v>0</v>
      </c>
      <c r="T472" s="1">
        <v>0</v>
      </c>
      <c r="U472" s="1">
        <f>2801.1-100-2701.1</f>
        <v>0</v>
      </c>
      <c r="V472" s="1">
        <v>2801.1</v>
      </c>
      <c r="W472" s="1">
        <v>2801.1</v>
      </c>
      <c r="X472" s="1">
        <v>2801.1</v>
      </c>
      <c r="Y472" s="1">
        <v>2801.1</v>
      </c>
      <c r="Z472" s="1">
        <v>2801.1</v>
      </c>
      <c r="AA472" s="62">
        <f t="shared" si="88"/>
        <v>14005.5</v>
      </c>
      <c r="AB472" s="61">
        <v>2024</v>
      </c>
      <c r="AC472" s="33"/>
      <c r="AD472" s="53"/>
    </row>
    <row r="473" spans="1:30" s="54" customFormat="1" ht="47.25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40" t="s">
        <v>284</v>
      </c>
      <c r="S473" s="55" t="s">
        <v>38</v>
      </c>
      <c r="T473" s="44">
        <v>0</v>
      </c>
      <c r="U473" s="44">
        <v>0</v>
      </c>
      <c r="V473" s="44">
        <v>10</v>
      </c>
      <c r="W473" s="44">
        <v>7</v>
      </c>
      <c r="X473" s="44">
        <v>7</v>
      </c>
      <c r="Y473" s="44">
        <v>7</v>
      </c>
      <c r="Z473" s="44">
        <v>7</v>
      </c>
      <c r="AA473" s="52">
        <f t="shared" si="88"/>
        <v>38</v>
      </c>
      <c r="AB473" s="146">
        <v>2024</v>
      </c>
      <c r="AC473" s="33"/>
      <c r="AD473" s="53"/>
    </row>
    <row r="474" spans="1:30" s="54" customFormat="1" ht="47.25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285</v>
      </c>
      <c r="S474" s="55" t="s">
        <v>52</v>
      </c>
      <c r="T474" s="3">
        <v>0</v>
      </c>
      <c r="U474" s="3">
        <v>0</v>
      </c>
      <c r="V474" s="3">
        <v>10.199999999999999</v>
      </c>
      <c r="W474" s="3">
        <v>11.3</v>
      </c>
      <c r="X474" s="3">
        <v>11.3</v>
      </c>
      <c r="Y474" s="3">
        <v>11.3</v>
      </c>
      <c r="Z474" s="3">
        <v>11.3</v>
      </c>
      <c r="AA474" s="56">
        <f t="shared" si="88"/>
        <v>55.399999999999991</v>
      </c>
      <c r="AB474" s="146">
        <v>2024</v>
      </c>
      <c r="AC474" s="33"/>
      <c r="AD474" s="53"/>
    </row>
    <row r="475" spans="1:30" ht="56.4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103" t="s">
        <v>55</v>
      </c>
      <c r="S475" s="50" t="s">
        <v>0</v>
      </c>
      <c r="T475" s="49">
        <f>T479++T489+T492+T513</f>
        <v>7230.2999999999993</v>
      </c>
      <c r="U475" s="49">
        <f>U479++U489+U492+U513+U525+U523+U527+U529</f>
        <v>12898</v>
      </c>
      <c r="V475" s="49">
        <f>V479++V489+V492+V513</f>
        <v>6850.1</v>
      </c>
      <c r="W475" s="49">
        <f>W479++W489+W492+W513</f>
        <v>7133.9000000000005</v>
      </c>
      <c r="X475" s="49">
        <f>X479++X489+X492+X513</f>
        <v>7133.9000000000005</v>
      </c>
      <c r="Y475" s="49">
        <f>Y479++Y489+Y492+Y513</f>
        <v>8781.3000000000011</v>
      </c>
      <c r="Z475" s="49">
        <f>Z479++Z489+Z492+Z513</f>
        <v>8781.3000000000011</v>
      </c>
      <c r="AA475" s="49">
        <f t="shared" si="88"/>
        <v>58808.80000000001</v>
      </c>
      <c r="AB475" s="50">
        <v>2024</v>
      </c>
      <c r="AC475" s="124"/>
    </row>
    <row r="476" spans="1:30" ht="33.6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51" t="s">
        <v>142</v>
      </c>
      <c r="S476" s="146" t="s">
        <v>31</v>
      </c>
      <c r="T476" s="4">
        <f t="shared" ref="T476:Y476" si="95">T480</f>
        <v>10473.4</v>
      </c>
      <c r="U476" s="4">
        <f t="shared" si="95"/>
        <v>4682.5</v>
      </c>
      <c r="V476" s="4">
        <f t="shared" si="95"/>
        <v>7838.7999999999993</v>
      </c>
      <c r="W476" s="4">
        <f t="shared" si="95"/>
        <v>7867.7</v>
      </c>
      <c r="X476" s="4">
        <f t="shared" si="95"/>
        <v>7867.7</v>
      </c>
      <c r="Y476" s="4">
        <f t="shared" si="95"/>
        <v>7867.7</v>
      </c>
      <c r="Z476" s="4">
        <f t="shared" ref="Z476" si="96">Z480</f>
        <v>7867.7</v>
      </c>
      <c r="AA476" s="5">
        <f t="shared" si="88"/>
        <v>54465.499999999993</v>
      </c>
      <c r="AB476" s="146">
        <v>2024</v>
      </c>
      <c r="AC476" s="33"/>
    </row>
    <row r="477" spans="1:30" ht="31.5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51" t="s">
        <v>143</v>
      </c>
      <c r="S477" s="146" t="s">
        <v>50</v>
      </c>
      <c r="T477" s="44">
        <f t="shared" ref="T477:Y477" si="97">T493</f>
        <v>450</v>
      </c>
      <c r="U477" s="44">
        <f t="shared" si="97"/>
        <v>450</v>
      </c>
      <c r="V477" s="44">
        <f t="shared" si="97"/>
        <v>445</v>
      </c>
      <c r="W477" s="44">
        <f t="shared" si="97"/>
        <v>450</v>
      </c>
      <c r="X477" s="44">
        <f t="shared" si="97"/>
        <v>450</v>
      </c>
      <c r="Y477" s="44">
        <f t="shared" si="97"/>
        <v>433</v>
      </c>
      <c r="Z477" s="44">
        <f t="shared" ref="Z477" si="98">Z493</f>
        <v>433</v>
      </c>
      <c r="AA477" s="45">
        <f t="shared" ref="AA477:AA478" si="99">SUM(T477:Z477)</f>
        <v>3111</v>
      </c>
      <c r="AB477" s="146">
        <v>2024</v>
      </c>
      <c r="AC477" s="33"/>
    </row>
    <row r="478" spans="1:30" ht="49.15" customHeight="1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51" t="s">
        <v>144</v>
      </c>
      <c r="S478" s="41" t="s">
        <v>38</v>
      </c>
      <c r="T478" s="44">
        <f t="shared" ref="T478:Y478" si="100">T514</f>
        <v>27</v>
      </c>
      <c r="U478" s="44">
        <f t="shared" si="100"/>
        <v>4</v>
      </c>
      <c r="V478" s="44">
        <f t="shared" si="100"/>
        <v>37</v>
      </c>
      <c r="W478" s="44">
        <f t="shared" si="100"/>
        <v>41</v>
      </c>
      <c r="X478" s="44">
        <f t="shared" si="100"/>
        <v>41</v>
      </c>
      <c r="Y478" s="44">
        <f t="shared" si="100"/>
        <v>41</v>
      </c>
      <c r="Z478" s="44">
        <f t="shared" ref="Z478" si="101">Z514</f>
        <v>41</v>
      </c>
      <c r="AA478" s="45">
        <f t="shared" si="99"/>
        <v>232</v>
      </c>
      <c r="AB478" s="41">
        <v>2024</v>
      </c>
      <c r="AC478" s="33"/>
    </row>
    <row r="479" spans="1:30" ht="36" customHeight="1" x14ac:dyDescent="0.25">
      <c r="A479" s="57"/>
      <c r="B479" s="57"/>
      <c r="C479" s="57"/>
      <c r="D479" s="57" t="s">
        <v>18</v>
      </c>
      <c r="E479" s="57" t="s">
        <v>21</v>
      </c>
      <c r="F479" s="57" t="s">
        <v>18</v>
      </c>
      <c r="G479" s="57" t="s">
        <v>22</v>
      </c>
      <c r="H479" s="57" t="s">
        <v>19</v>
      </c>
      <c r="I479" s="57" t="s">
        <v>24</v>
      </c>
      <c r="J479" s="57" t="s">
        <v>18</v>
      </c>
      <c r="K479" s="57" t="s">
        <v>18</v>
      </c>
      <c r="L479" s="57" t="s">
        <v>22</v>
      </c>
      <c r="M479" s="57" t="s">
        <v>18</v>
      </c>
      <c r="N479" s="57" t="s">
        <v>18</v>
      </c>
      <c r="O479" s="57" t="s">
        <v>18</v>
      </c>
      <c r="P479" s="57" t="s">
        <v>18</v>
      </c>
      <c r="Q479" s="57" t="s">
        <v>18</v>
      </c>
      <c r="R479" s="80" t="s">
        <v>145</v>
      </c>
      <c r="S479" s="61" t="s">
        <v>0</v>
      </c>
      <c r="T479" s="62">
        <f>T481+T485+T483+T487</f>
        <v>5760.9</v>
      </c>
      <c r="U479" s="62">
        <f t="shared" ref="U479:Y479" si="102">U481+U485+U483+U487</f>
        <v>5337.7</v>
      </c>
      <c r="V479" s="62">
        <f t="shared" si="102"/>
        <v>5181.2</v>
      </c>
      <c r="W479" s="62">
        <f t="shared" si="102"/>
        <v>5478.6</v>
      </c>
      <c r="X479" s="62">
        <f t="shared" si="102"/>
        <v>5478.6</v>
      </c>
      <c r="Y479" s="62">
        <f t="shared" si="102"/>
        <v>5478.6</v>
      </c>
      <c r="Z479" s="62">
        <f t="shared" ref="Z479" si="103">Z481+Z485+Z483+Z487</f>
        <v>5478.6</v>
      </c>
      <c r="AA479" s="62">
        <f t="shared" ref="AA479:AA490" si="104">SUM(T479:Z479)</f>
        <v>38194.199999999997</v>
      </c>
      <c r="AB479" s="61">
        <v>2024</v>
      </c>
      <c r="AC479" s="124"/>
    </row>
    <row r="480" spans="1:30" ht="35.450000000000003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5" t="s">
        <v>142</v>
      </c>
      <c r="S480" s="146" t="s">
        <v>31</v>
      </c>
      <c r="T480" s="3">
        <f>T482+T484+T486+T488</f>
        <v>10473.4</v>
      </c>
      <c r="U480" s="3">
        <f t="shared" ref="U480:Y480" si="105">U482+U484+U486+U488</f>
        <v>4682.5</v>
      </c>
      <c r="V480" s="3">
        <f t="shared" si="105"/>
        <v>7838.7999999999993</v>
      </c>
      <c r="W480" s="3">
        <f t="shared" si="105"/>
        <v>7867.7</v>
      </c>
      <c r="X480" s="3">
        <f>X482+X484+X486+X488</f>
        <v>7867.7</v>
      </c>
      <c r="Y480" s="3">
        <f t="shared" si="105"/>
        <v>7867.7</v>
      </c>
      <c r="Z480" s="3">
        <f t="shared" ref="Z480" si="106">Z482+Z484+Z486+Z488</f>
        <v>7867.7</v>
      </c>
      <c r="AA480" s="5">
        <f t="shared" si="104"/>
        <v>54465.499999999993</v>
      </c>
      <c r="AB480" s="41">
        <v>2024</v>
      </c>
      <c r="AC480" s="127"/>
      <c r="AD480" s="105"/>
    </row>
    <row r="481" spans="1:34" ht="35.450000000000003" customHeight="1" x14ac:dyDescent="0.25">
      <c r="A481" s="57" t="s">
        <v>18</v>
      </c>
      <c r="B481" s="57" t="s">
        <v>18</v>
      </c>
      <c r="C481" s="57" t="s">
        <v>22</v>
      </c>
      <c r="D481" s="57" t="s">
        <v>18</v>
      </c>
      <c r="E481" s="57" t="s">
        <v>21</v>
      </c>
      <c r="F481" s="57" t="s">
        <v>18</v>
      </c>
      <c r="G481" s="57" t="s">
        <v>22</v>
      </c>
      <c r="H481" s="57" t="s">
        <v>19</v>
      </c>
      <c r="I481" s="57" t="s">
        <v>24</v>
      </c>
      <c r="J481" s="57" t="s">
        <v>18</v>
      </c>
      <c r="K481" s="57" t="s">
        <v>18</v>
      </c>
      <c r="L481" s="57" t="s">
        <v>22</v>
      </c>
      <c r="M481" s="57" t="s">
        <v>18</v>
      </c>
      <c r="N481" s="57" t="s">
        <v>18</v>
      </c>
      <c r="O481" s="57" t="s">
        <v>18</v>
      </c>
      <c r="P481" s="57" t="s">
        <v>18</v>
      </c>
      <c r="Q481" s="57" t="s">
        <v>18</v>
      </c>
      <c r="R481" s="80" t="s">
        <v>146</v>
      </c>
      <c r="S481" s="58" t="s">
        <v>0</v>
      </c>
      <c r="T481" s="1">
        <f>3617.1-376.2-40-150</f>
        <v>3050.9</v>
      </c>
      <c r="U481" s="1">
        <f>2917.1-100</f>
        <v>2817.1</v>
      </c>
      <c r="V481" s="1">
        <v>2917.1</v>
      </c>
      <c r="W481" s="1">
        <v>2917.1</v>
      </c>
      <c r="X481" s="1">
        <v>2917.1</v>
      </c>
      <c r="Y481" s="1">
        <v>2917.1</v>
      </c>
      <c r="Z481" s="1">
        <v>2917.1</v>
      </c>
      <c r="AA481" s="62">
        <f t="shared" si="104"/>
        <v>20453.5</v>
      </c>
      <c r="AB481" s="61">
        <v>2024</v>
      </c>
      <c r="AC481" s="123"/>
      <c r="AD481" s="105"/>
      <c r="AE481" s="105"/>
    </row>
    <row r="482" spans="1:34" ht="33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64" t="s">
        <v>147</v>
      </c>
      <c r="S482" s="146" t="s">
        <v>31</v>
      </c>
      <c r="T482" s="3">
        <v>4849</v>
      </c>
      <c r="U482" s="3">
        <f>4307-1114</f>
        <v>3193</v>
      </c>
      <c r="V482" s="3">
        <v>4637.7</v>
      </c>
      <c r="W482" s="3">
        <v>4307</v>
      </c>
      <c r="X482" s="3">
        <v>4307</v>
      </c>
      <c r="Y482" s="3">
        <v>4307</v>
      </c>
      <c r="Z482" s="3">
        <v>4307</v>
      </c>
      <c r="AA482" s="5">
        <f t="shared" si="104"/>
        <v>29907.7</v>
      </c>
      <c r="AB482" s="41">
        <v>2024</v>
      </c>
      <c r="AC482" s="127"/>
      <c r="AD482" s="105"/>
    </row>
    <row r="483" spans="1:34" ht="37.15" customHeight="1" x14ac:dyDescent="0.25">
      <c r="A483" s="57" t="s">
        <v>18</v>
      </c>
      <c r="B483" s="57" t="s">
        <v>18</v>
      </c>
      <c r="C483" s="57" t="s">
        <v>24</v>
      </c>
      <c r="D483" s="57" t="s">
        <v>18</v>
      </c>
      <c r="E483" s="57" t="s">
        <v>21</v>
      </c>
      <c r="F483" s="57" t="s">
        <v>18</v>
      </c>
      <c r="G483" s="57" t="s">
        <v>22</v>
      </c>
      <c r="H483" s="57" t="s">
        <v>19</v>
      </c>
      <c r="I483" s="57" t="s">
        <v>24</v>
      </c>
      <c r="J483" s="57" t="s">
        <v>18</v>
      </c>
      <c r="K483" s="57" t="s">
        <v>18</v>
      </c>
      <c r="L483" s="57" t="s">
        <v>22</v>
      </c>
      <c r="M483" s="57" t="s">
        <v>18</v>
      </c>
      <c r="N483" s="57" t="s">
        <v>18</v>
      </c>
      <c r="O483" s="57" t="s">
        <v>18</v>
      </c>
      <c r="P483" s="57" t="s">
        <v>18</v>
      </c>
      <c r="Q483" s="57" t="s">
        <v>18</v>
      </c>
      <c r="R483" s="80" t="s">
        <v>148</v>
      </c>
      <c r="S483" s="58" t="s">
        <v>0</v>
      </c>
      <c r="T483" s="1">
        <f>398.5-63.6-24.8</f>
        <v>310.09999999999997</v>
      </c>
      <c r="U483" s="1">
        <f>398.5-18.9</f>
        <v>379.6</v>
      </c>
      <c r="V483" s="1">
        <v>398.5</v>
      </c>
      <c r="W483" s="1">
        <v>398.5</v>
      </c>
      <c r="X483" s="1">
        <v>398.5</v>
      </c>
      <c r="Y483" s="1">
        <v>398.5</v>
      </c>
      <c r="Z483" s="1">
        <v>398.5</v>
      </c>
      <c r="AA483" s="62">
        <f t="shared" si="104"/>
        <v>2682.2</v>
      </c>
      <c r="AB483" s="61">
        <v>2024</v>
      </c>
      <c r="AC483" s="123"/>
      <c r="AD483" s="105"/>
    </row>
    <row r="484" spans="1:34" ht="47.25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64" t="s">
        <v>149</v>
      </c>
      <c r="S484" s="146" t="s">
        <v>31</v>
      </c>
      <c r="T484" s="4">
        <v>421.4</v>
      </c>
      <c r="U484" s="4">
        <v>195</v>
      </c>
      <c r="V484" s="4">
        <v>554</v>
      </c>
      <c r="W484" s="4">
        <v>529.70000000000005</v>
      </c>
      <c r="X484" s="4">
        <v>529.70000000000005</v>
      </c>
      <c r="Y484" s="4">
        <v>529.70000000000005</v>
      </c>
      <c r="Z484" s="4">
        <v>529.70000000000005</v>
      </c>
      <c r="AA484" s="5">
        <f t="shared" si="104"/>
        <v>3289.2</v>
      </c>
      <c r="AB484" s="41">
        <v>2024</v>
      </c>
      <c r="AC484" s="127"/>
      <c r="AD484" s="105"/>
    </row>
    <row r="485" spans="1:34" ht="35.450000000000003" customHeight="1" x14ac:dyDescent="0.25">
      <c r="A485" s="57" t="s">
        <v>18</v>
      </c>
      <c r="B485" s="57" t="s">
        <v>18</v>
      </c>
      <c r="C485" s="57" t="s">
        <v>21</v>
      </c>
      <c r="D485" s="57" t="s">
        <v>18</v>
      </c>
      <c r="E485" s="57" t="s">
        <v>21</v>
      </c>
      <c r="F485" s="57" t="s">
        <v>18</v>
      </c>
      <c r="G485" s="57" t="s">
        <v>22</v>
      </c>
      <c r="H485" s="57" t="s">
        <v>19</v>
      </c>
      <c r="I485" s="57" t="s">
        <v>24</v>
      </c>
      <c r="J485" s="57" t="s">
        <v>18</v>
      </c>
      <c r="K485" s="57" t="s">
        <v>18</v>
      </c>
      <c r="L485" s="57" t="s">
        <v>22</v>
      </c>
      <c r="M485" s="57" t="s">
        <v>18</v>
      </c>
      <c r="N485" s="57" t="s">
        <v>18</v>
      </c>
      <c r="O485" s="57" t="s">
        <v>18</v>
      </c>
      <c r="P485" s="57" t="s">
        <v>18</v>
      </c>
      <c r="Q485" s="57" t="s">
        <v>18</v>
      </c>
      <c r="R485" s="72" t="s">
        <v>150</v>
      </c>
      <c r="S485" s="58" t="s">
        <v>0</v>
      </c>
      <c r="T485" s="1">
        <f>1961.8-500-47.8</f>
        <v>1414</v>
      </c>
      <c r="U485" s="1">
        <f>1163-0.4</f>
        <v>1162.5999999999999</v>
      </c>
      <c r="V485" s="1">
        <v>1165.5999999999999</v>
      </c>
      <c r="W485" s="1">
        <v>1163</v>
      </c>
      <c r="X485" s="1">
        <v>1163</v>
      </c>
      <c r="Y485" s="1">
        <v>1163</v>
      </c>
      <c r="Z485" s="1">
        <v>1163</v>
      </c>
      <c r="AA485" s="62">
        <f t="shared" si="104"/>
        <v>8394.2000000000007</v>
      </c>
      <c r="AB485" s="61">
        <v>2024</v>
      </c>
      <c r="AC485" s="123"/>
      <c r="AD485" s="105"/>
    </row>
    <row r="486" spans="1:34" ht="29.4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64" t="s">
        <v>151</v>
      </c>
      <c r="S486" s="146" t="s">
        <v>31</v>
      </c>
      <c r="T486" s="4">
        <v>3300</v>
      </c>
      <c r="U486" s="4">
        <v>1194.5</v>
      </c>
      <c r="V486" s="4">
        <v>1853.1</v>
      </c>
      <c r="W486" s="4">
        <v>1717</v>
      </c>
      <c r="X486" s="4">
        <v>1717</v>
      </c>
      <c r="Y486" s="4">
        <v>1717</v>
      </c>
      <c r="Z486" s="4">
        <v>1717</v>
      </c>
      <c r="AA486" s="5">
        <f t="shared" si="104"/>
        <v>13215.6</v>
      </c>
      <c r="AB486" s="41">
        <v>2024</v>
      </c>
      <c r="AC486" s="127"/>
      <c r="AD486" s="105"/>
    </row>
    <row r="487" spans="1:34" ht="34.15" customHeight="1" x14ac:dyDescent="0.25">
      <c r="A487" s="57" t="s">
        <v>18</v>
      </c>
      <c r="B487" s="57" t="s">
        <v>18</v>
      </c>
      <c r="C487" s="57" t="s">
        <v>25</v>
      </c>
      <c r="D487" s="57" t="s">
        <v>18</v>
      </c>
      <c r="E487" s="57" t="s">
        <v>21</v>
      </c>
      <c r="F487" s="57" t="s">
        <v>18</v>
      </c>
      <c r="G487" s="57" t="s">
        <v>22</v>
      </c>
      <c r="H487" s="57" t="s">
        <v>19</v>
      </c>
      <c r="I487" s="57" t="s">
        <v>24</v>
      </c>
      <c r="J487" s="57" t="s">
        <v>18</v>
      </c>
      <c r="K487" s="57" t="s">
        <v>18</v>
      </c>
      <c r="L487" s="57" t="s">
        <v>22</v>
      </c>
      <c r="M487" s="57" t="s">
        <v>18</v>
      </c>
      <c r="N487" s="57" t="s">
        <v>18</v>
      </c>
      <c r="O487" s="57" t="s">
        <v>18</v>
      </c>
      <c r="P487" s="57" t="s">
        <v>18</v>
      </c>
      <c r="Q487" s="57" t="s">
        <v>18</v>
      </c>
      <c r="R487" s="72" t="s">
        <v>152</v>
      </c>
      <c r="S487" s="58" t="s">
        <v>0</v>
      </c>
      <c r="T487" s="1">
        <f>1502-455.3-60.8</f>
        <v>985.90000000000009</v>
      </c>
      <c r="U487" s="1">
        <f>1000-21.6</f>
        <v>978.4</v>
      </c>
      <c r="V487" s="1">
        <v>700</v>
      </c>
      <c r="W487" s="1">
        <v>1000</v>
      </c>
      <c r="X487" s="1">
        <v>1000</v>
      </c>
      <c r="Y487" s="1">
        <v>1000</v>
      </c>
      <c r="Z487" s="1">
        <v>1000</v>
      </c>
      <c r="AA487" s="62">
        <f t="shared" si="104"/>
        <v>6664.3</v>
      </c>
      <c r="AB487" s="61">
        <v>2024</v>
      </c>
      <c r="AC487" s="124"/>
      <c r="AD487" s="12"/>
    </row>
    <row r="488" spans="1:34" ht="47.25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40" t="s">
        <v>153</v>
      </c>
      <c r="S488" s="146" t="s">
        <v>31</v>
      </c>
      <c r="T488" s="3">
        <v>1903</v>
      </c>
      <c r="U488" s="3">
        <v>100</v>
      </c>
      <c r="V488" s="3">
        <v>794</v>
      </c>
      <c r="W488" s="3">
        <v>1314</v>
      </c>
      <c r="X488" s="3">
        <v>1314</v>
      </c>
      <c r="Y488" s="3">
        <v>1314</v>
      </c>
      <c r="Z488" s="3">
        <v>1314</v>
      </c>
      <c r="AA488" s="5">
        <f t="shared" si="104"/>
        <v>8053</v>
      </c>
      <c r="AB488" s="41">
        <v>2024</v>
      </c>
      <c r="AC488" s="127"/>
      <c r="AD488" s="105"/>
    </row>
    <row r="489" spans="1:34" ht="55.15" customHeight="1" x14ac:dyDescent="0.25">
      <c r="A489" s="57" t="s">
        <v>18</v>
      </c>
      <c r="B489" s="57" t="s">
        <v>24</v>
      </c>
      <c r="C489" s="57" t="s">
        <v>22</v>
      </c>
      <c r="D489" s="57" t="s">
        <v>18</v>
      </c>
      <c r="E489" s="57" t="s">
        <v>21</v>
      </c>
      <c r="F489" s="57" t="s">
        <v>18</v>
      </c>
      <c r="G489" s="57" t="s">
        <v>22</v>
      </c>
      <c r="H489" s="57" t="s">
        <v>19</v>
      </c>
      <c r="I489" s="57" t="s">
        <v>24</v>
      </c>
      <c r="J489" s="57" t="s">
        <v>18</v>
      </c>
      <c r="K489" s="57" t="s">
        <v>18</v>
      </c>
      <c r="L489" s="57" t="s">
        <v>22</v>
      </c>
      <c r="M489" s="57" t="s">
        <v>18</v>
      </c>
      <c r="N489" s="57" t="s">
        <v>18</v>
      </c>
      <c r="O489" s="57" t="s">
        <v>18</v>
      </c>
      <c r="P489" s="57" t="s">
        <v>18</v>
      </c>
      <c r="Q489" s="57" t="s">
        <v>18</v>
      </c>
      <c r="R489" s="144" t="s">
        <v>154</v>
      </c>
      <c r="S489" s="58" t="s">
        <v>0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  <c r="Y489" s="1">
        <v>1782</v>
      </c>
      <c r="Z489" s="1">
        <v>1782</v>
      </c>
      <c r="AA489" s="62">
        <f t="shared" si="104"/>
        <v>3564</v>
      </c>
      <c r="AB489" s="61">
        <v>2024</v>
      </c>
      <c r="AC489" s="33"/>
    </row>
    <row r="490" spans="1:34" ht="49.1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5" t="s">
        <v>155</v>
      </c>
      <c r="S490" s="146" t="s">
        <v>31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5619</v>
      </c>
      <c r="Z490" s="3">
        <v>5619</v>
      </c>
      <c r="AA490" s="5">
        <f t="shared" si="104"/>
        <v>11238</v>
      </c>
      <c r="AB490" s="41">
        <v>2024</v>
      </c>
      <c r="AC490" s="124"/>
      <c r="AD490" s="118"/>
      <c r="AE490" s="105"/>
      <c r="AF490" s="105"/>
      <c r="AG490" s="105"/>
      <c r="AH490" s="8"/>
    </row>
    <row r="491" spans="1:34" ht="0.75" hidden="1" customHeight="1" x14ac:dyDescent="0.25">
      <c r="A491" s="57"/>
      <c r="B491" s="57"/>
      <c r="C491" s="57"/>
      <c r="D491" s="57" t="s">
        <v>18</v>
      </c>
      <c r="E491" s="57" t="s">
        <v>21</v>
      </c>
      <c r="F491" s="57" t="s">
        <v>18</v>
      </c>
      <c r="G491" s="57" t="s">
        <v>22</v>
      </c>
      <c r="H491" s="57" t="s">
        <v>18</v>
      </c>
      <c r="I491" s="57" t="s">
        <v>23</v>
      </c>
      <c r="J491" s="57" t="s">
        <v>18</v>
      </c>
      <c r="K491" s="57" t="s">
        <v>18</v>
      </c>
      <c r="L491" s="57" t="s">
        <v>20</v>
      </c>
      <c r="M491" s="57" t="s">
        <v>19</v>
      </c>
      <c r="N491" s="57" t="s">
        <v>18</v>
      </c>
      <c r="O491" s="57" t="s">
        <v>21</v>
      </c>
      <c r="P491" s="57" t="s">
        <v>21</v>
      </c>
      <c r="Q491" s="57" t="s">
        <v>18</v>
      </c>
      <c r="R491" s="149" t="s">
        <v>156</v>
      </c>
      <c r="S491" s="58" t="s">
        <v>0</v>
      </c>
      <c r="T491" s="1">
        <f t="shared" ref="T491:Y492" si="107">T494+T497+T500+T503</f>
        <v>1308.2000000000003</v>
      </c>
      <c r="U491" s="1">
        <f t="shared" si="107"/>
        <v>1308.2000000000003</v>
      </c>
      <c r="V491" s="1">
        <f t="shared" si="107"/>
        <v>1308.2000000000003</v>
      </c>
      <c r="W491" s="1">
        <f t="shared" si="107"/>
        <v>1308.2000000000003</v>
      </c>
      <c r="X491" s="1">
        <f t="shared" si="107"/>
        <v>1308.2000000000003</v>
      </c>
      <c r="Y491" s="1">
        <f t="shared" si="107"/>
        <v>1308.2000000000003</v>
      </c>
      <c r="Z491" s="1"/>
      <c r="AA491" s="62">
        <f>T491+U491+V491+W491+X491+Y491</f>
        <v>7849.2000000000025</v>
      </c>
      <c r="AB491" s="76">
        <v>2016</v>
      </c>
      <c r="AC491" s="33"/>
      <c r="AD491" s="12"/>
      <c r="AE491" s="12"/>
    </row>
    <row r="492" spans="1:34" ht="37.9" customHeight="1" x14ac:dyDescent="0.25">
      <c r="A492" s="57"/>
      <c r="B492" s="57"/>
      <c r="C492" s="57"/>
      <c r="D492" s="57" t="s">
        <v>18</v>
      </c>
      <c r="E492" s="57" t="s">
        <v>24</v>
      </c>
      <c r="F492" s="57" t="s">
        <v>18</v>
      </c>
      <c r="G492" s="57" t="s">
        <v>21</v>
      </c>
      <c r="H492" s="57" t="s">
        <v>19</v>
      </c>
      <c r="I492" s="57" t="s">
        <v>24</v>
      </c>
      <c r="J492" s="57" t="s">
        <v>18</v>
      </c>
      <c r="K492" s="57" t="s">
        <v>18</v>
      </c>
      <c r="L492" s="57" t="s">
        <v>22</v>
      </c>
      <c r="M492" s="57" t="s">
        <v>18</v>
      </c>
      <c r="N492" s="57" t="s">
        <v>18</v>
      </c>
      <c r="O492" s="57" t="s">
        <v>18</v>
      </c>
      <c r="P492" s="57" t="s">
        <v>18</v>
      </c>
      <c r="Q492" s="57" t="s">
        <v>18</v>
      </c>
      <c r="R492" s="149"/>
      <c r="S492" s="61" t="s">
        <v>0</v>
      </c>
      <c r="T492" s="62">
        <f t="shared" si="107"/>
        <v>1399.4</v>
      </c>
      <c r="U492" s="62">
        <f>U495+U498+U501+U504+U508</f>
        <v>802.7</v>
      </c>
      <c r="V492" s="62">
        <f t="shared" si="107"/>
        <v>1552.1000000000001</v>
      </c>
      <c r="W492" s="62">
        <f t="shared" si="107"/>
        <v>1535.7</v>
      </c>
      <c r="X492" s="62">
        <f t="shared" si="107"/>
        <v>1535.7</v>
      </c>
      <c r="Y492" s="62">
        <f t="shared" si="107"/>
        <v>1401.1000000000001</v>
      </c>
      <c r="Z492" s="62">
        <f t="shared" ref="Z492" si="108">Z495+Z498+Z501+Z504</f>
        <v>1401.1000000000001</v>
      </c>
      <c r="AA492" s="62">
        <f>SUM(T492:Z492)</f>
        <v>9627.8000000000011</v>
      </c>
      <c r="AB492" s="61">
        <v>2024</v>
      </c>
      <c r="AC492" s="124"/>
      <c r="AD492" s="12"/>
      <c r="AE492" s="12"/>
    </row>
    <row r="493" spans="1:34" ht="31.9" customHeight="1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40" t="s">
        <v>157</v>
      </c>
      <c r="S493" s="146" t="s">
        <v>50</v>
      </c>
      <c r="T493" s="44">
        <f t="shared" ref="T493:Y493" si="109">T496+T499+T502+T507</f>
        <v>450</v>
      </c>
      <c r="U493" s="44">
        <f>U496+U499+U502+U507+U512</f>
        <v>450</v>
      </c>
      <c r="V493" s="44">
        <f t="shared" si="109"/>
        <v>445</v>
      </c>
      <c r="W493" s="44">
        <f t="shared" si="109"/>
        <v>450</v>
      </c>
      <c r="X493" s="44">
        <f t="shared" si="109"/>
        <v>450</v>
      </c>
      <c r="Y493" s="44">
        <f t="shared" si="109"/>
        <v>433</v>
      </c>
      <c r="Z493" s="44">
        <f t="shared" ref="Z493" si="110">Z496+Z499+Z502+Z507</f>
        <v>433</v>
      </c>
      <c r="AA493" s="52">
        <f>SUM(T493:Z493)</f>
        <v>3111</v>
      </c>
      <c r="AB493" s="41">
        <v>2024</v>
      </c>
      <c r="AC493" s="33"/>
      <c r="AD493" s="12"/>
      <c r="AE493" s="12"/>
    </row>
    <row r="494" spans="1:34" ht="36.75" hidden="1" customHeight="1" x14ac:dyDescent="0.25">
      <c r="A494" s="57" t="s">
        <v>18</v>
      </c>
      <c r="B494" s="57" t="s">
        <v>18</v>
      </c>
      <c r="C494" s="57" t="s">
        <v>22</v>
      </c>
      <c r="D494" s="57" t="s">
        <v>18</v>
      </c>
      <c r="E494" s="57" t="s">
        <v>21</v>
      </c>
      <c r="F494" s="57" t="s">
        <v>18</v>
      </c>
      <c r="G494" s="57" t="s">
        <v>22</v>
      </c>
      <c r="H494" s="57" t="s">
        <v>18</v>
      </c>
      <c r="I494" s="57" t="s">
        <v>23</v>
      </c>
      <c r="J494" s="57" t="s">
        <v>18</v>
      </c>
      <c r="K494" s="57" t="s">
        <v>18</v>
      </c>
      <c r="L494" s="57" t="s">
        <v>20</v>
      </c>
      <c r="M494" s="57" t="s">
        <v>19</v>
      </c>
      <c r="N494" s="57" t="s">
        <v>18</v>
      </c>
      <c r="O494" s="57" t="s">
        <v>21</v>
      </c>
      <c r="P494" s="57" t="s">
        <v>21</v>
      </c>
      <c r="Q494" s="57" t="s">
        <v>18</v>
      </c>
      <c r="R494" s="150" t="s">
        <v>158</v>
      </c>
      <c r="S494" s="58" t="s">
        <v>0</v>
      </c>
      <c r="T494" s="1">
        <f t="shared" ref="T494:Z494" si="111">472.4-26.9</f>
        <v>445.5</v>
      </c>
      <c r="U494" s="1">
        <f t="shared" si="111"/>
        <v>445.5</v>
      </c>
      <c r="V494" s="1">
        <f t="shared" si="111"/>
        <v>445.5</v>
      </c>
      <c r="W494" s="1">
        <f t="shared" si="111"/>
        <v>445.5</v>
      </c>
      <c r="X494" s="1">
        <f t="shared" si="111"/>
        <v>445.5</v>
      </c>
      <c r="Y494" s="1">
        <f t="shared" si="111"/>
        <v>445.5</v>
      </c>
      <c r="Z494" s="1">
        <f t="shared" si="111"/>
        <v>445.5</v>
      </c>
      <c r="AA494" s="62">
        <f t="shared" ref="AA494:AA503" si="112">T494+U494+V494+W494+X494+Y494</f>
        <v>2673</v>
      </c>
      <c r="AB494" s="41">
        <v>2023</v>
      </c>
      <c r="AC494" s="33"/>
      <c r="AD494" s="12"/>
      <c r="AE494" s="12"/>
    </row>
    <row r="495" spans="1:34" ht="37.9" customHeight="1" x14ac:dyDescent="0.25">
      <c r="A495" s="57" t="s">
        <v>18</v>
      </c>
      <c r="B495" s="57" t="s">
        <v>18</v>
      </c>
      <c r="C495" s="57" t="s">
        <v>22</v>
      </c>
      <c r="D495" s="57" t="s">
        <v>18</v>
      </c>
      <c r="E495" s="57" t="s">
        <v>24</v>
      </c>
      <c r="F495" s="57" t="s">
        <v>18</v>
      </c>
      <c r="G495" s="57" t="s">
        <v>21</v>
      </c>
      <c r="H495" s="57" t="s">
        <v>19</v>
      </c>
      <c r="I495" s="57" t="s">
        <v>24</v>
      </c>
      <c r="J495" s="57" t="s">
        <v>18</v>
      </c>
      <c r="K495" s="57" t="s">
        <v>18</v>
      </c>
      <c r="L495" s="57" t="s">
        <v>22</v>
      </c>
      <c r="M495" s="57" t="s">
        <v>19</v>
      </c>
      <c r="N495" s="57" t="s">
        <v>18</v>
      </c>
      <c r="O495" s="57" t="s">
        <v>21</v>
      </c>
      <c r="P495" s="57" t="s">
        <v>21</v>
      </c>
      <c r="Q495" s="57" t="s">
        <v>18</v>
      </c>
      <c r="R495" s="150"/>
      <c r="S495" s="58" t="s">
        <v>0</v>
      </c>
      <c r="T495" s="1">
        <f t="shared" ref="T495:Z495" si="113">445.5+45.8</f>
        <v>491.3</v>
      </c>
      <c r="U495" s="1">
        <f>445.5+45.8+47.5-415.7</f>
        <v>123.09999999999997</v>
      </c>
      <c r="V495" s="1">
        <f>445.5+45.8+53.6</f>
        <v>544.9</v>
      </c>
      <c r="W495" s="1">
        <f>445.5+45.8+47.9</f>
        <v>539.20000000000005</v>
      </c>
      <c r="X495" s="1">
        <f>445.5+45.8+47.9</f>
        <v>539.20000000000005</v>
      </c>
      <c r="Y495" s="1">
        <f t="shared" si="113"/>
        <v>491.3</v>
      </c>
      <c r="Z495" s="1">
        <f t="shared" si="113"/>
        <v>491.3</v>
      </c>
      <c r="AA495" s="62">
        <f>SUM(T495:Z495)</f>
        <v>3220.3</v>
      </c>
      <c r="AB495" s="61">
        <v>2024</v>
      </c>
      <c r="AC495" s="124"/>
    </row>
    <row r="496" spans="1:34" ht="40.9" customHeight="1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64" t="s">
        <v>159</v>
      </c>
      <c r="S496" s="146" t="s">
        <v>50</v>
      </c>
      <c r="T496" s="2">
        <v>158</v>
      </c>
      <c r="U496" s="44">
        <v>37</v>
      </c>
      <c r="V496" s="2">
        <v>154</v>
      </c>
      <c r="W496" s="2">
        <v>158</v>
      </c>
      <c r="X496" s="2">
        <v>158</v>
      </c>
      <c r="Y496" s="2">
        <v>148</v>
      </c>
      <c r="Z496" s="2">
        <v>148</v>
      </c>
      <c r="AA496" s="52">
        <f>SUM(T496:Z496)</f>
        <v>961</v>
      </c>
      <c r="AB496" s="41">
        <v>2024</v>
      </c>
      <c r="AC496" s="33"/>
    </row>
    <row r="497" spans="1:29" ht="36" hidden="1" customHeight="1" x14ac:dyDescent="0.25">
      <c r="A497" s="57" t="s">
        <v>18</v>
      </c>
      <c r="B497" s="57" t="s">
        <v>18</v>
      </c>
      <c r="C497" s="57" t="s">
        <v>24</v>
      </c>
      <c r="D497" s="57" t="s">
        <v>18</v>
      </c>
      <c r="E497" s="57" t="s">
        <v>21</v>
      </c>
      <c r="F497" s="57" t="s">
        <v>18</v>
      </c>
      <c r="G497" s="57" t="s">
        <v>22</v>
      </c>
      <c r="H497" s="57" t="s">
        <v>18</v>
      </c>
      <c r="I497" s="57" t="s">
        <v>23</v>
      </c>
      <c r="J497" s="57" t="s">
        <v>18</v>
      </c>
      <c r="K497" s="57" t="s">
        <v>18</v>
      </c>
      <c r="L497" s="57" t="s">
        <v>20</v>
      </c>
      <c r="M497" s="57" t="s">
        <v>19</v>
      </c>
      <c r="N497" s="57" t="s">
        <v>18</v>
      </c>
      <c r="O497" s="57" t="s">
        <v>21</v>
      </c>
      <c r="P497" s="57" t="s">
        <v>21</v>
      </c>
      <c r="Q497" s="57" t="s">
        <v>18</v>
      </c>
      <c r="R497" s="152" t="s">
        <v>158</v>
      </c>
      <c r="S497" s="58" t="s">
        <v>0</v>
      </c>
      <c r="T497" s="1">
        <f t="shared" ref="T497:Z497" si="114">302-17.3</f>
        <v>284.7</v>
      </c>
      <c r="U497" s="1">
        <f t="shared" si="114"/>
        <v>284.7</v>
      </c>
      <c r="V497" s="1">
        <f t="shared" si="114"/>
        <v>284.7</v>
      </c>
      <c r="W497" s="1">
        <f t="shared" si="114"/>
        <v>284.7</v>
      </c>
      <c r="X497" s="1">
        <f t="shared" si="114"/>
        <v>284.7</v>
      </c>
      <c r="Y497" s="1">
        <f t="shared" si="114"/>
        <v>284.7</v>
      </c>
      <c r="Z497" s="1">
        <f t="shared" si="114"/>
        <v>284.7</v>
      </c>
      <c r="AA497" s="62">
        <f t="shared" si="112"/>
        <v>1708.2</v>
      </c>
      <c r="AB497" s="41">
        <v>2023</v>
      </c>
      <c r="AC497" s="33"/>
    </row>
    <row r="498" spans="1:29" ht="37.9" customHeight="1" x14ac:dyDescent="0.25">
      <c r="A498" s="57" t="s">
        <v>18</v>
      </c>
      <c r="B498" s="57" t="s">
        <v>18</v>
      </c>
      <c r="C498" s="57" t="s">
        <v>24</v>
      </c>
      <c r="D498" s="57" t="s">
        <v>18</v>
      </c>
      <c r="E498" s="57" t="s">
        <v>24</v>
      </c>
      <c r="F498" s="57" t="s">
        <v>18</v>
      </c>
      <c r="G498" s="57" t="s">
        <v>21</v>
      </c>
      <c r="H498" s="57" t="s">
        <v>19</v>
      </c>
      <c r="I498" s="57" t="s">
        <v>24</v>
      </c>
      <c r="J498" s="57" t="s">
        <v>18</v>
      </c>
      <c r="K498" s="57" t="s">
        <v>18</v>
      </c>
      <c r="L498" s="57" t="s">
        <v>22</v>
      </c>
      <c r="M498" s="57" t="s">
        <v>19</v>
      </c>
      <c r="N498" s="57" t="s">
        <v>18</v>
      </c>
      <c r="O498" s="57" t="s">
        <v>21</v>
      </c>
      <c r="P498" s="57" t="s">
        <v>21</v>
      </c>
      <c r="Q498" s="57" t="s">
        <v>18</v>
      </c>
      <c r="R498" s="152"/>
      <c r="S498" s="58" t="s">
        <v>0</v>
      </c>
      <c r="T498" s="1">
        <f t="shared" ref="T498:Z498" si="115">284.7-29.7</f>
        <v>255</v>
      </c>
      <c r="U498" s="1">
        <f>284.7-29.7+24.6-218.9</f>
        <v>60.700000000000017</v>
      </c>
      <c r="V498" s="1">
        <f>284.7-29.7+27.8</f>
        <v>282.8</v>
      </c>
      <c r="W498" s="1">
        <f>284.7-29.7+24.8</f>
        <v>279.8</v>
      </c>
      <c r="X498" s="1">
        <f>284.7-29.7+24.8</f>
        <v>279.8</v>
      </c>
      <c r="Y498" s="1">
        <f t="shared" si="115"/>
        <v>255</v>
      </c>
      <c r="Z498" s="1">
        <f t="shared" si="115"/>
        <v>255</v>
      </c>
      <c r="AA498" s="62">
        <f>SUM(T498:Z498)</f>
        <v>1668.1</v>
      </c>
      <c r="AB498" s="61">
        <v>2024</v>
      </c>
      <c r="AC498" s="124"/>
    </row>
    <row r="499" spans="1:29" ht="47.25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64" t="s">
        <v>160</v>
      </c>
      <c r="S499" s="146" t="s">
        <v>50</v>
      </c>
      <c r="T499" s="2">
        <v>82</v>
      </c>
      <c r="U499" s="44">
        <v>20</v>
      </c>
      <c r="V499" s="2">
        <v>82</v>
      </c>
      <c r="W499" s="2">
        <v>82</v>
      </c>
      <c r="X499" s="2">
        <v>82</v>
      </c>
      <c r="Y499" s="2">
        <v>82</v>
      </c>
      <c r="Z499" s="2">
        <v>82</v>
      </c>
      <c r="AA499" s="52">
        <f>SUM(T499:Z499)</f>
        <v>512</v>
      </c>
      <c r="AB499" s="41">
        <v>2024</v>
      </c>
      <c r="AC499" s="33"/>
    </row>
    <row r="500" spans="1:29" ht="5.25" hidden="1" customHeight="1" x14ac:dyDescent="0.25">
      <c r="A500" s="57" t="s">
        <v>18</v>
      </c>
      <c r="B500" s="57" t="s">
        <v>18</v>
      </c>
      <c r="C500" s="57" t="s">
        <v>21</v>
      </c>
      <c r="D500" s="57" t="s">
        <v>18</v>
      </c>
      <c r="E500" s="57" t="s">
        <v>21</v>
      </c>
      <c r="F500" s="57" t="s">
        <v>18</v>
      </c>
      <c r="G500" s="57" t="s">
        <v>22</v>
      </c>
      <c r="H500" s="57" t="s">
        <v>18</v>
      </c>
      <c r="I500" s="57" t="s">
        <v>23</v>
      </c>
      <c r="J500" s="57" t="s">
        <v>18</v>
      </c>
      <c r="K500" s="57" t="s">
        <v>18</v>
      </c>
      <c r="L500" s="57" t="s">
        <v>20</v>
      </c>
      <c r="M500" s="57" t="s">
        <v>19</v>
      </c>
      <c r="N500" s="57" t="s">
        <v>18</v>
      </c>
      <c r="O500" s="57" t="s">
        <v>21</v>
      </c>
      <c r="P500" s="57" t="s">
        <v>21</v>
      </c>
      <c r="Q500" s="57" t="s">
        <v>18</v>
      </c>
      <c r="R500" s="152" t="s">
        <v>158</v>
      </c>
      <c r="S500" s="58" t="s">
        <v>0</v>
      </c>
      <c r="T500" s="1">
        <f t="shared" ref="T500:Z500" si="116">398.8-22.7</f>
        <v>376.1</v>
      </c>
      <c r="U500" s="1">
        <f t="shared" si="116"/>
        <v>376.1</v>
      </c>
      <c r="V500" s="1">
        <f t="shared" si="116"/>
        <v>376.1</v>
      </c>
      <c r="W500" s="1">
        <f t="shared" si="116"/>
        <v>376.1</v>
      </c>
      <c r="X500" s="1">
        <f t="shared" si="116"/>
        <v>376.1</v>
      </c>
      <c r="Y500" s="1">
        <f t="shared" si="116"/>
        <v>376.1</v>
      </c>
      <c r="Z500" s="1">
        <f t="shared" si="116"/>
        <v>376.1</v>
      </c>
      <c r="AA500" s="62">
        <f t="shared" si="112"/>
        <v>2256.6</v>
      </c>
      <c r="AB500" s="41">
        <v>2023</v>
      </c>
      <c r="AC500" s="33"/>
    </row>
    <row r="501" spans="1:29" ht="36.6" customHeight="1" x14ac:dyDescent="0.25">
      <c r="A501" s="57" t="s">
        <v>18</v>
      </c>
      <c r="B501" s="57" t="s">
        <v>18</v>
      </c>
      <c r="C501" s="57" t="s">
        <v>21</v>
      </c>
      <c r="D501" s="57" t="s">
        <v>18</v>
      </c>
      <c r="E501" s="57" t="s">
        <v>24</v>
      </c>
      <c r="F501" s="57" t="s">
        <v>18</v>
      </c>
      <c r="G501" s="57" t="s">
        <v>21</v>
      </c>
      <c r="H501" s="57" t="s">
        <v>19</v>
      </c>
      <c r="I501" s="57" t="s">
        <v>24</v>
      </c>
      <c r="J501" s="57" t="s">
        <v>18</v>
      </c>
      <c r="K501" s="57" t="s">
        <v>18</v>
      </c>
      <c r="L501" s="57" t="s">
        <v>22</v>
      </c>
      <c r="M501" s="57" t="s">
        <v>19</v>
      </c>
      <c r="N501" s="57" t="s">
        <v>18</v>
      </c>
      <c r="O501" s="57" t="s">
        <v>21</v>
      </c>
      <c r="P501" s="57" t="s">
        <v>21</v>
      </c>
      <c r="Q501" s="57" t="s">
        <v>18</v>
      </c>
      <c r="R501" s="152"/>
      <c r="S501" s="58" t="s">
        <v>0</v>
      </c>
      <c r="T501" s="1">
        <f t="shared" ref="T501:Z501" si="117">376.1+59.3</f>
        <v>435.40000000000003</v>
      </c>
      <c r="U501" s="1">
        <f>376.1+59.3+42-370.4</f>
        <v>107.00000000000006</v>
      </c>
      <c r="V501" s="1">
        <f>376.1+59.3+47.5</f>
        <v>482.90000000000003</v>
      </c>
      <c r="W501" s="1">
        <f>376.1+59.3+42.4</f>
        <v>477.8</v>
      </c>
      <c r="X501" s="1">
        <f>376.1+59.3+42.4</f>
        <v>477.8</v>
      </c>
      <c r="Y501" s="1">
        <f t="shared" si="117"/>
        <v>435.40000000000003</v>
      </c>
      <c r="Z501" s="1">
        <f t="shared" si="117"/>
        <v>435.40000000000003</v>
      </c>
      <c r="AA501" s="62">
        <f>SUM(T501:Z501)</f>
        <v>2851.7000000000003</v>
      </c>
      <c r="AB501" s="61">
        <v>2024</v>
      </c>
      <c r="AC501" s="33"/>
    </row>
    <row r="502" spans="1:29" ht="47.2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64" t="s">
        <v>161</v>
      </c>
      <c r="S502" s="146" t="s">
        <v>50</v>
      </c>
      <c r="T502" s="2">
        <v>140</v>
      </c>
      <c r="U502" s="44">
        <v>31</v>
      </c>
      <c r="V502" s="2">
        <v>141</v>
      </c>
      <c r="W502" s="2">
        <v>140</v>
      </c>
      <c r="X502" s="2">
        <v>140</v>
      </c>
      <c r="Y502" s="2">
        <v>135</v>
      </c>
      <c r="Z502" s="2">
        <v>135</v>
      </c>
      <c r="AA502" s="52">
        <f>SUM(T502:Z502)</f>
        <v>862</v>
      </c>
      <c r="AB502" s="41">
        <v>2024</v>
      </c>
      <c r="AC502" s="33"/>
    </row>
    <row r="503" spans="1:29" ht="35.25" hidden="1" customHeight="1" x14ac:dyDescent="0.25">
      <c r="A503" s="57" t="s">
        <v>18</v>
      </c>
      <c r="B503" s="57" t="s">
        <v>18</v>
      </c>
      <c r="C503" s="57" t="s">
        <v>25</v>
      </c>
      <c r="D503" s="57" t="s">
        <v>18</v>
      </c>
      <c r="E503" s="57" t="s">
        <v>21</v>
      </c>
      <c r="F503" s="57" t="s">
        <v>18</v>
      </c>
      <c r="G503" s="57" t="s">
        <v>22</v>
      </c>
      <c r="H503" s="57" t="s">
        <v>18</v>
      </c>
      <c r="I503" s="57" t="s">
        <v>23</v>
      </c>
      <c r="J503" s="57" t="s">
        <v>18</v>
      </c>
      <c r="K503" s="57" t="s">
        <v>18</v>
      </c>
      <c r="L503" s="57" t="s">
        <v>20</v>
      </c>
      <c r="M503" s="57" t="s">
        <v>19</v>
      </c>
      <c r="N503" s="57" t="s">
        <v>18</v>
      </c>
      <c r="O503" s="57" t="s">
        <v>21</v>
      </c>
      <c r="P503" s="57" t="s">
        <v>21</v>
      </c>
      <c r="Q503" s="57" t="s">
        <v>18</v>
      </c>
      <c r="R503" s="152" t="s">
        <v>158</v>
      </c>
      <c r="S503" s="58" t="s">
        <v>0</v>
      </c>
      <c r="T503" s="1">
        <f t="shared" ref="T503:Z503" si="118">214.1-12.2</f>
        <v>201.9</v>
      </c>
      <c r="U503" s="1">
        <f t="shared" si="118"/>
        <v>201.9</v>
      </c>
      <c r="V503" s="1">
        <f t="shared" si="118"/>
        <v>201.9</v>
      </c>
      <c r="W503" s="1">
        <f t="shared" si="118"/>
        <v>201.9</v>
      </c>
      <c r="X503" s="1">
        <f t="shared" si="118"/>
        <v>201.9</v>
      </c>
      <c r="Y503" s="1">
        <f t="shared" si="118"/>
        <v>201.9</v>
      </c>
      <c r="Z503" s="1">
        <f t="shared" si="118"/>
        <v>201.9</v>
      </c>
      <c r="AA503" s="62">
        <f t="shared" si="112"/>
        <v>1211.4000000000001</v>
      </c>
      <c r="AB503" s="41">
        <v>2023</v>
      </c>
    </row>
    <row r="504" spans="1:29" ht="33.6" customHeight="1" x14ac:dyDescent="0.25">
      <c r="A504" s="57" t="s">
        <v>18</v>
      </c>
      <c r="B504" s="57" t="s">
        <v>18</v>
      </c>
      <c r="C504" s="57" t="s">
        <v>25</v>
      </c>
      <c r="D504" s="57" t="s">
        <v>18</v>
      </c>
      <c r="E504" s="57" t="s">
        <v>24</v>
      </c>
      <c r="F504" s="57" t="s">
        <v>18</v>
      </c>
      <c r="G504" s="57" t="s">
        <v>21</v>
      </c>
      <c r="H504" s="57" t="s">
        <v>19</v>
      </c>
      <c r="I504" s="57" t="s">
        <v>24</v>
      </c>
      <c r="J504" s="57" t="s">
        <v>18</v>
      </c>
      <c r="K504" s="57" t="s">
        <v>18</v>
      </c>
      <c r="L504" s="57" t="s">
        <v>22</v>
      </c>
      <c r="M504" s="57" t="s">
        <v>19</v>
      </c>
      <c r="N504" s="57" t="s">
        <v>18</v>
      </c>
      <c r="O504" s="57" t="s">
        <v>21</v>
      </c>
      <c r="P504" s="57" t="s">
        <v>21</v>
      </c>
      <c r="Q504" s="57" t="s">
        <v>18</v>
      </c>
      <c r="R504" s="152"/>
      <c r="S504" s="58" t="s">
        <v>0</v>
      </c>
      <c r="T504" s="1">
        <f>201.9+15.8</f>
        <v>217.70000000000002</v>
      </c>
      <c r="U504" s="1">
        <f>201.9+15.8+1.7+19.3-186.2</f>
        <v>52.500000000000028</v>
      </c>
      <c r="V504" s="1">
        <f>201.9+15.8+1.7+22.1</f>
        <v>241.5</v>
      </c>
      <c r="W504" s="1">
        <f>201.9+15.8+1.7+19.5</f>
        <v>238.9</v>
      </c>
      <c r="X504" s="1">
        <f>201.9+15.8+1.7+19.5</f>
        <v>238.9</v>
      </c>
      <c r="Y504" s="1">
        <f>201.9+15.8+1.7</f>
        <v>219.4</v>
      </c>
      <c r="Z504" s="1">
        <f>201.9+15.8+1.7</f>
        <v>219.4</v>
      </c>
      <c r="AA504" s="62">
        <f>SUM(T504:Z504)</f>
        <v>1428.3000000000002</v>
      </c>
      <c r="AB504" s="61">
        <v>2024</v>
      </c>
      <c r="AC504" s="33"/>
    </row>
    <row r="505" spans="1:29" ht="49.5" hidden="1" customHeight="1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40" t="s">
        <v>162</v>
      </c>
      <c r="S505" s="41" t="s">
        <v>8</v>
      </c>
      <c r="T505" s="2">
        <v>56</v>
      </c>
      <c r="U505" s="2">
        <v>56</v>
      </c>
      <c r="V505" s="2">
        <v>56</v>
      </c>
      <c r="W505" s="2">
        <v>56</v>
      </c>
      <c r="X505" s="2">
        <v>56</v>
      </c>
      <c r="Y505" s="2">
        <v>56</v>
      </c>
      <c r="Z505" s="2">
        <v>56</v>
      </c>
      <c r="AA505" s="52">
        <f>T505+U505+V505+W505+X505+Y505+Z505</f>
        <v>392</v>
      </c>
      <c r="AB505" s="41">
        <v>2024</v>
      </c>
    </row>
    <row r="506" spans="1:29" ht="64.5" hidden="1" customHeight="1" x14ac:dyDescent="0.25">
      <c r="A506" s="57" t="s">
        <v>18</v>
      </c>
      <c r="B506" s="57" t="s">
        <v>19</v>
      </c>
      <c r="C506" s="57" t="s">
        <v>24</v>
      </c>
      <c r="D506" s="57" t="s">
        <v>18</v>
      </c>
      <c r="E506" s="57" t="s">
        <v>21</v>
      </c>
      <c r="F506" s="57" t="s">
        <v>18</v>
      </c>
      <c r="G506" s="57" t="s">
        <v>22</v>
      </c>
      <c r="H506" s="57" t="s">
        <v>18</v>
      </c>
      <c r="I506" s="57" t="s">
        <v>23</v>
      </c>
      <c r="J506" s="57" t="s">
        <v>18</v>
      </c>
      <c r="K506" s="57" t="s">
        <v>18</v>
      </c>
      <c r="L506" s="57" t="s">
        <v>22</v>
      </c>
      <c r="M506" s="57" t="s">
        <v>18</v>
      </c>
      <c r="N506" s="57" t="s">
        <v>22</v>
      </c>
      <c r="O506" s="57" t="s">
        <v>22</v>
      </c>
      <c r="P506" s="57" t="s">
        <v>18</v>
      </c>
      <c r="Q506" s="57" t="s">
        <v>22</v>
      </c>
      <c r="R506" s="71" t="s">
        <v>163</v>
      </c>
      <c r="S506" s="58" t="s">
        <v>0</v>
      </c>
      <c r="T506" s="1"/>
      <c r="U506" s="1"/>
      <c r="V506" s="1"/>
      <c r="W506" s="1"/>
      <c r="X506" s="1"/>
      <c r="Y506" s="1"/>
      <c r="Z506" s="1"/>
      <c r="AA506" s="62">
        <f>T506+U506+V506+W506+X506+Y506</f>
        <v>0</v>
      </c>
      <c r="AB506" s="146">
        <v>2020</v>
      </c>
    </row>
    <row r="507" spans="1:29" ht="47.25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64" t="s">
        <v>162</v>
      </c>
      <c r="S507" s="146" t="s">
        <v>50</v>
      </c>
      <c r="T507" s="44">
        <v>70</v>
      </c>
      <c r="U507" s="44">
        <v>15</v>
      </c>
      <c r="V507" s="44">
        <v>68</v>
      </c>
      <c r="W507" s="44">
        <v>70</v>
      </c>
      <c r="X507" s="44">
        <v>70</v>
      </c>
      <c r="Y507" s="44">
        <v>68</v>
      </c>
      <c r="Z507" s="44">
        <v>68</v>
      </c>
      <c r="AA507" s="45">
        <f t="shared" ref="AA507:AA512" si="119">SUM(T507:Z507)</f>
        <v>429</v>
      </c>
      <c r="AB507" s="41">
        <v>2024</v>
      </c>
      <c r="AC507" s="33"/>
    </row>
    <row r="508" spans="1:29" s="135" customFormat="1" hidden="1" x14ac:dyDescent="0.25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149" t="s">
        <v>298</v>
      </c>
      <c r="S508" s="58" t="s">
        <v>0</v>
      </c>
      <c r="T508" s="1">
        <v>0</v>
      </c>
      <c r="U508" s="1">
        <f>U509+U510</f>
        <v>459.4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62">
        <f t="shared" si="119"/>
        <v>459.4</v>
      </c>
      <c r="AB508" s="58">
        <v>2019</v>
      </c>
      <c r="AC508" s="134"/>
    </row>
    <row r="509" spans="1:29" s="135" customFormat="1" ht="36.6" customHeight="1" x14ac:dyDescent="0.25">
      <c r="A509" s="57" t="s">
        <v>18</v>
      </c>
      <c r="B509" s="57" t="s">
        <v>19</v>
      </c>
      <c r="C509" s="57" t="s">
        <v>20</v>
      </c>
      <c r="D509" s="57" t="s">
        <v>18</v>
      </c>
      <c r="E509" s="57" t="s">
        <v>24</v>
      </c>
      <c r="F509" s="57" t="s">
        <v>18</v>
      </c>
      <c r="G509" s="57" t="s">
        <v>21</v>
      </c>
      <c r="H509" s="57" t="s">
        <v>19</v>
      </c>
      <c r="I509" s="57" t="s">
        <v>24</v>
      </c>
      <c r="J509" s="57" t="s">
        <v>18</v>
      </c>
      <c r="K509" s="57" t="s">
        <v>18</v>
      </c>
      <c r="L509" s="57" t="s">
        <v>22</v>
      </c>
      <c r="M509" s="57" t="s">
        <v>19</v>
      </c>
      <c r="N509" s="57" t="s">
        <v>18</v>
      </c>
      <c r="O509" s="57" t="s">
        <v>21</v>
      </c>
      <c r="P509" s="57" t="s">
        <v>21</v>
      </c>
      <c r="Q509" s="57" t="s">
        <v>18</v>
      </c>
      <c r="R509" s="149"/>
      <c r="S509" s="58" t="s">
        <v>0</v>
      </c>
      <c r="T509" s="1">
        <v>0</v>
      </c>
      <c r="U509" s="1">
        <v>459.4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62">
        <f t="shared" si="119"/>
        <v>459.4</v>
      </c>
      <c r="AB509" s="58">
        <v>2019</v>
      </c>
      <c r="AC509" s="134"/>
    </row>
    <row r="510" spans="1:29" s="135" customFormat="1" hidden="1" x14ac:dyDescent="0.25">
      <c r="A510" s="57" t="s">
        <v>18</v>
      </c>
      <c r="B510" s="57" t="s">
        <v>19</v>
      </c>
      <c r="C510" s="57" t="s">
        <v>20</v>
      </c>
      <c r="D510" s="57" t="s">
        <v>18</v>
      </c>
      <c r="E510" s="57" t="s">
        <v>24</v>
      </c>
      <c r="F510" s="57" t="s">
        <v>18</v>
      </c>
      <c r="G510" s="57" t="s">
        <v>21</v>
      </c>
      <c r="H510" s="57" t="s">
        <v>19</v>
      </c>
      <c r="I510" s="57" t="s">
        <v>24</v>
      </c>
      <c r="J510" s="57" t="s">
        <v>18</v>
      </c>
      <c r="K510" s="57" t="s">
        <v>18</v>
      </c>
      <c r="L510" s="57" t="s">
        <v>22</v>
      </c>
      <c r="M510" s="57" t="s">
        <v>18</v>
      </c>
      <c r="N510" s="57" t="s">
        <v>18</v>
      </c>
      <c r="O510" s="57" t="s">
        <v>18</v>
      </c>
      <c r="P510" s="57" t="s">
        <v>18</v>
      </c>
      <c r="Q510" s="57" t="s">
        <v>18</v>
      </c>
      <c r="R510" s="149"/>
      <c r="S510" s="58" t="s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0</v>
      </c>
      <c r="Z510" s="1">
        <v>0</v>
      </c>
      <c r="AA510" s="62">
        <f t="shared" si="119"/>
        <v>0</v>
      </c>
      <c r="AB510" s="58">
        <v>2019</v>
      </c>
      <c r="AC510" s="134"/>
    </row>
    <row r="511" spans="1:29" s="75" customFormat="1" ht="48.6" customHeight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 t="s">
        <v>338</v>
      </c>
      <c r="N511" s="39"/>
      <c r="O511" s="39"/>
      <c r="P511" s="39"/>
      <c r="Q511" s="39"/>
      <c r="R511" s="40" t="s">
        <v>337</v>
      </c>
      <c r="S511" s="41" t="s">
        <v>299</v>
      </c>
      <c r="T511" s="44">
        <v>0</v>
      </c>
      <c r="U511" s="44">
        <v>175</v>
      </c>
      <c r="V511" s="44">
        <v>0</v>
      </c>
      <c r="W511" s="44">
        <v>0</v>
      </c>
      <c r="X511" s="44">
        <v>0</v>
      </c>
      <c r="Y511" s="44">
        <v>0</v>
      </c>
      <c r="Z511" s="44">
        <v>0</v>
      </c>
      <c r="AA511" s="52">
        <f t="shared" si="119"/>
        <v>175</v>
      </c>
      <c r="AB511" s="41">
        <v>2019</v>
      </c>
      <c r="AC511" s="114"/>
    </row>
    <row r="512" spans="1:29" s="75" customFormat="1" ht="31.5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40" t="s">
        <v>318</v>
      </c>
      <c r="S512" s="41" t="s">
        <v>50</v>
      </c>
      <c r="T512" s="44">
        <v>0</v>
      </c>
      <c r="U512" s="44">
        <v>347</v>
      </c>
      <c r="V512" s="44">
        <v>0</v>
      </c>
      <c r="W512" s="44">
        <v>0</v>
      </c>
      <c r="X512" s="44">
        <v>0</v>
      </c>
      <c r="Y512" s="44">
        <v>0</v>
      </c>
      <c r="Z512" s="44">
        <v>0</v>
      </c>
      <c r="AA512" s="52">
        <f t="shared" si="119"/>
        <v>347</v>
      </c>
      <c r="AB512" s="41">
        <v>2019</v>
      </c>
      <c r="AC512" s="114"/>
    </row>
    <row r="513" spans="1:30" ht="51" customHeight="1" x14ac:dyDescent="0.25">
      <c r="A513" s="57"/>
      <c r="B513" s="57"/>
      <c r="C513" s="57"/>
      <c r="D513" s="57" t="s">
        <v>18</v>
      </c>
      <c r="E513" s="57" t="s">
        <v>21</v>
      </c>
      <c r="F513" s="57" t="s">
        <v>18</v>
      </c>
      <c r="G513" s="57" t="s">
        <v>22</v>
      </c>
      <c r="H513" s="57" t="s">
        <v>19</v>
      </c>
      <c r="I513" s="57" t="s">
        <v>24</v>
      </c>
      <c r="J513" s="57" t="s">
        <v>18</v>
      </c>
      <c r="K513" s="57" t="s">
        <v>18</v>
      </c>
      <c r="L513" s="57" t="s">
        <v>22</v>
      </c>
      <c r="M513" s="57" t="s">
        <v>18</v>
      </c>
      <c r="N513" s="57" t="s">
        <v>18</v>
      </c>
      <c r="O513" s="57" t="s">
        <v>18</v>
      </c>
      <c r="P513" s="57" t="s">
        <v>18</v>
      </c>
      <c r="Q513" s="57" t="s">
        <v>18</v>
      </c>
      <c r="R513" s="71" t="s">
        <v>164</v>
      </c>
      <c r="S513" s="61" t="s">
        <v>0</v>
      </c>
      <c r="T513" s="62">
        <f t="shared" ref="T513:Y514" si="120">T515+T517+T519+T521</f>
        <v>69.999999999999986</v>
      </c>
      <c r="U513" s="62">
        <f t="shared" si="120"/>
        <v>25.8</v>
      </c>
      <c r="V513" s="62">
        <f t="shared" si="120"/>
        <v>116.8</v>
      </c>
      <c r="W513" s="62">
        <f t="shared" si="120"/>
        <v>119.6</v>
      </c>
      <c r="X513" s="62">
        <f t="shared" si="120"/>
        <v>119.6</v>
      </c>
      <c r="Y513" s="62">
        <f t="shared" si="120"/>
        <v>119.6</v>
      </c>
      <c r="Z513" s="62">
        <f t="shared" ref="Z513" si="121">Z515+Z517+Z519+Z521</f>
        <v>119.6</v>
      </c>
      <c r="AA513" s="62">
        <f>AA515+AA517+AA519+AA521</f>
        <v>691</v>
      </c>
      <c r="AB513" s="61">
        <v>2024</v>
      </c>
      <c r="AC513" s="124"/>
    </row>
    <row r="514" spans="1:30" ht="51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4" t="s">
        <v>165</v>
      </c>
      <c r="S514" s="146" t="s">
        <v>38</v>
      </c>
      <c r="T514" s="44">
        <f t="shared" si="120"/>
        <v>27</v>
      </c>
      <c r="U514" s="44">
        <f t="shared" si="120"/>
        <v>4</v>
      </c>
      <c r="V514" s="44">
        <f t="shared" si="120"/>
        <v>37</v>
      </c>
      <c r="W514" s="44">
        <f t="shared" si="120"/>
        <v>41</v>
      </c>
      <c r="X514" s="44">
        <f t="shared" si="120"/>
        <v>41</v>
      </c>
      <c r="Y514" s="44">
        <f t="shared" si="120"/>
        <v>41</v>
      </c>
      <c r="Z514" s="44">
        <f>Z516+Z518+Z520+Z522</f>
        <v>41</v>
      </c>
      <c r="AA514" s="52">
        <f>T514+U514+V514+W514+X514+Y514+Z514</f>
        <v>232</v>
      </c>
      <c r="AB514" s="41">
        <v>2024</v>
      </c>
      <c r="AC514" s="33"/>
    </row>
    <row r="515" spans="1:30" ht="50.45" customHeight="1" x14ac:dyDescent="0.25">
      <c r="A515" s="57" t="s">
        <v>18</v>
      </c>
      <c r="B515" s="57" t="s">
        <v>18</v>
      </c>
      <c r="C515" s="57" t="s">
        <v>22</v>
      </c>
      <c r="D515" s="57" t="s">
        <v>18</v>
      </c>
      <c r="E515" s="57" t="s">
        <v>21</v>
      </c>
      <c r="F515" s="57" t="s">
        <v>18</v>
      </c>
      <c r="G515" s="57" t="s">
        <v>22</v>
      </c>
      <c r="H515" s="57" t="s">
        <v>19</v>
      </c>
      <c r="I515" s="57" t="s">
        <v>24</v>
      </c>
      <c r="J515" s="57" t="s">
        <v>18</v>
      </c>
      <c r="K515" s="57" t="s">
        <v>18</v>
      </c>
      <c r="L515" s="57" t="s">
        <v>22</v>
      </c>
      <c r="M515" s="57" t="s">
        <v>18</v>
      </c>
      <c r="N515" s="57" t="s">
        <v>18</v>
      </c>
      <c r="O515" s="57" t="s">
        <v>18</v>
      </c>
      <c r="P515" s="57" t="s">
        <v>18</v>
      </c>
      <c r="Q515" s="57" t="s">
        <v>18</v>
      </c>
      <c r="R515" s="71" t="s">
        <v>166</v>
      </c>
      <c r="S515" s="58" t="s">
        <v>0</v>
      </c>
      <c r="T515" s="1">
        <f>18.2-1.8-10.9</f>
        <v>5.4999999999999982</v>
      </c>
      <c r="U515" s="1">
        <v>18.2</v>
      </c>
      <c r="V515" s="1">
        <v>18.2</v>
      </c>
      <c r="W515" s="1">
        <v>18.2</v>
      </c>
      <c r="X515" s="1">
        <v>18.2</v>
      </c>
      <c r="Y515" s="1">
        <v>18.2</v>
      </c>
      <c r="Z515" s="1">
        <v>18.2</v>
      </c>
      <c r="AA515" s="62">
        <f t="shared" ref="AA515:AA522" si="122">T515+U515+V515+W515+X515+Y515+Z515</f>
        <v>114.7</v>
      </c>
      <c r="AB515" s="61">
        <v>2024</v>
      </c>
      <c r="AC515" s="124"/>
    </row>
    <row r="516" spans="1:30" ht="50.45" customHeight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64" t="s">
        <v>167</v>
      </c>
      <c r="S516" s="146" t="s">
        <v>38</v>
      </c>
      <c r="T516" s="85">
        <v>2</v>
      </c>
      <c r="U516" s="85">
        <v>2</v>
      </c>
      <c r="V516" s="85">
        <v>6</v>
      </c>
      <c r="W516" s="85">
        <v>6</v>
      </c>
      <c r="X516" s="85">
        <v>6</v>
      </c>
      <c r="Y516" s="85">
        <v>6</v>
      </c>
      <c r="Z516" s="85">
        <v>6</v>
      </c>
      <c r="AA516" s="101">
        <f t="shared" si="122"/>
        <v>34</v>
      </c>
      <c r="AB516" s="41">
        <v>2024</v>
      </c>
      <c r="AC516" s="33"/>
    </row>
    <row r="517" spans="1:30" ht="49.15" customHeight="1" x14ac:dyDescent="0.25">
      <c r="A517" s="57" t="s">
        <v>18</v>
      </c>
      <c r="B517" s="57" t="s">
        <v>18</v>
      </c>
      <c r="C517" s="57" t="s">
        <v>24</v>
      </c>
      <c r="D517" s="57" t="s">
        <v>18</v>
      </c>
      <c r="E517" s="57" t="s">
        <v>21</v>
      </c>
      <c r="F517" s="57" t="s">
        <v>18</v>
      </c>
      <c r="G517" s="57" t="s">
        <v>22</v>
      </c>
      <c r="H517" s="57" t="s">
        <v>19</v>
      </c>
      <c r="I517" s="57" t="s">
        <v>24</v>
      </c>
      <c r="J517" s="57" t="s">
        <v>18</v>
      </c>
      <c r="K517" s="57" t="s">
        <v>18</v>
      </c>
      <c r="L517" s="57" t="s">
        <v>22</v>
      </c>
      <c r="M517" s="57" t="s">
        <v>18</v>
      </c>
      <c r="N517" s="57" t="s">
        <v>18</v>
      </c>
      <c r="O517" s="57" t="s">
        <v>18</v>
      </c>
      <c r="P517" s="57" t="s">
        <v>18</v>
      </c>
      <c r="Q517" s="57" t="s">
        <v>18</v>
      </c>
      <c r="R517" s="71" t="s">
        <v>166</v>
      </c>
      <c r="S517" s="58" t="s">
        <v>0</v>
      </c>
      <c r="T517" s="1">
        <f>72.8-43.1</f>
        <v>29.699999999999996</v>
      </c>
      <c r="U517" s="1">
        <f>31.8-31.8</f>
        <v>0</v>
      </c>
      <c r="V517" s="1">
        <v>31.8</v>
      </c>
      <c r="W517" s="1">
        <v>31.8</v>
      </c>
      <c r="X517" s="1">
        <v>31.8</v>
      </c>
      <c r="Y517" s="1">
        <v>31.8</v>
      </c>
      <c r="Z517" s="1">
        <v>31.8</v>
      </c>
      <c r="AA517" s="62">
        <f t="shared" si="122"/>
        <v>188.70000000000002</v>
      </c>
      <c r="AB517" s="61">
        <v>2024</v>
      </c>
      <c r="AC517" s="124"/>
    </row>
    <row r="518" spans="1:30" ht="48" customHeight="1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64" t="s">
        <v>168</v>
      </c>
      <c r="S518" s="146" t="s">
        <v>38</v>
      </c>
      <c r="T518" s="85">
        <v>10</v>
      </c>
      <c r="U518" s="85">
        <v>0</v>
      </c>
      <c r="V518" s="85">
        <v>10</v>
      </c>
      <c r="W518" s="85">
        <v>11</v>
      </c>
      <c r="X518" s="85">
        <v>11</v>
      </c>
      <c r="Y518" s="85">
        <v>11</v>
      </c>
      <c r="Z518" s="85">
        <v>11</v>
      </c>
      <c r="AA518" s="101">
        <f t="shared" si="122"/>
        <v>64</v>
      </c>
      <c r="AB518" s="41">
        <v>2024</v>
      </c>
      <c r="AC518" s="33"/>
    </row>
    <row r="519" spans="1:30" ht="50.45" customHeight="1" x14ac:dyDescent="0.25">
      <c r="A519" s="57" t="s">
        <v>18</v>
      </c>
      <c r="B519" s="57" t="s">
        <v>18</v>
      </c>
      <c r="C519" s="57" t="s">
        <v>21</v>
      </c>
      <c r="D519" s="57" t="s">
        <v>18</v>
      </c>
      <c r="E519" s="57" t="s">
        <v>21</v>
      </c>
      <c r="F519" s="57" t="s">
        <v>18</v>
      </c>
      <c r="G519" s="57" t="s">
        <v>22</v>
      </c>
      <c r="H519" s="57" t="s">
        <v>19</v>
      </c>
      <c r="I519" s="57" t="s">
        <v>24</v>
      </c>
      <c r="J519" s="57" t="s">
        <v>18</v>
      </c>
      <c r="K519" s="57" t="s">
        <v>18</v>
      </c>
      <c r="L519" s="57" t="s">
        <v>22</v>
      </c>
      <c r="M519" s="57" t="s">
        <v>18</v>
      </c>
      <c r="N519" s="57" t="s">
        <v>18</v>
      </c>
      <c r="O519" s="57" t="s">
        <v>18</v>
      </c>
      <c r="P519" s="57" t="s">
        <v>18</v>
      </c>
      <c r="Q519" s="57" t="s">
        <v>18</v>
      </c>
      <c r="R519" s="71" t="s">
        <v>169</v>
      </c>
      <c r="S519" s="58" t="s">
        <v>0</v>
      </c>
      <c r="T519" s="66">
        <f>36.4-4.4</f>
        <v>32</v>
      </c>
      <c r="U519" s="66">
        <f>34.6-34.6</f>
        <v>0</v>
      </c>
      <c r="V519" s="66">
        <v>31.8</v>
      </c>
      <c r="W519" s="66">
        <v>34.6</v>
      </c>
      <c r="X519" s="66">
        <v>34.6</v>
      </c>
      <c r="Y519" s="66">
        <v>34.6</v>
      </c>
      <c r="Z519" s="66">
        <v>34.6</v>
      </c>
      <c r="AA519" s="62">
        <f t="shared" si="122"/>
        <v>202.2</v>
      </c>
      <c r="AB519" s="61">
        <v>2024</v>
      </c>
      <c r="AC519" s="123"/>
      <c r="AD519" s="105"/>
    </row>
    <row r="520" spans="1:30" ht="49.9" customHeight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64" t="s">
        <v>170</v>
      </c>
      <c r="S520" s="146" t="s">
        <v>38</v>
      </c>
      <c r="T520" s="85">
        <v>14</v>
      </c>
      <c r="U520" s="85">
        <v>0</v>
      </c>
      <c r="V520" s="85">
        <v>10</v>
      </c>
      <c r="W520" s="85">
        <v>12</v>
      </c>
      <c r="X520" s="85">
        <v>12</v>
      </c>
      <c r="Y520" s="85">
        <v>12</v>
      </c>
      <c r="Z520" s="85">
        <v>12</v>
      </c>
      <c r="AA520" s="102">
        <f t="shared" si="122"/>
        <v>72</v>
      </c>
      <c r="AB520" s="41">
        <v>2024</v>
      </c>
      <c r="AC520" s="33"/>
    </row>
    <row r="521" spans="1:30" ht="47.25" x14ac:dyDescent="0.25">
      <c r="A521" s="57" t="s">
        <v>18</v>
      </c>
      <c r="B521" s="57" t="s">
        <v>18</v>
      </c>
      <c r="C521" s="57" t="s">
        <v>25</v>
      </c>
      <c r="D521" s="57" t="s">
        <v>18</v>
      </c>
      <c r="E521" s="57" t="s">
        <v>21</v>
      </c>
      <c r="F521" s="57" t="s">
        <v>18</v>
      </c>
      <c r="G521" s="57" t="s">
        <v>22</v>
      </c>
      <c r="H521" s="57" t="s">
        <v>19</v>
      </c>
      <c r="I521" s="57" t="s">
        <v>24</v>
      </c>
      <c r="J521" s="57" t="s">
        <v>18</v>
      </c>
      <c r="K521" s="57" t="s">
        <v>18</v>
      </c>
      <c r="L521" s="57" t="s">
        <v>22</v>
      </c>
      <c r="M521" s="57" t="s">
        <v>18</v>
      </c>
      <c r="N521" s="57" t="s">
        <v>18</v>
      </c>
      <c r="O521" s="57" t="s">
        <v>18</v>
      </c>
      <c r="P521" s="57" t="s">
        <v>18</v>
      </c>
      <c r="Q521" s="57" t="s">
        <v>18</v>
      </c>
      <c r="R521" s="71" t="s">
        <v>166</v>
      </c>
      <c r="S521" s="58" t="s">
        <v>0</v>
      </c>
      <c r="T521" s="1">
        <f>35-32.2</f>
        <v>2.7999999999999972</v>
      </c>
      <c r="U521" s="1">
        <f>35-27.4</f>
        <v>7.6000000000000014</v>
      </c>
      <c r="V521" s="1">
        <v>35</v>
      </c>
      <c r="W521" s="1">
        <v>35</v>
      </c>
      <c r="X521" s="1">
        <v>35</v>
      </c>
      <c r="Y521" s="1">
        <v>35</v>
      </c>
      <c r="Z521" s="1">
        <v>35</v>
      </c>
      <c r="AA521" s="62">
        <f t="shared" si="122"/>
        <v>185.4</v>
      </c>
      <c r="AB521" s="61">
        <v>2024</v>
      </c>
      <c r="AC521" s="33"/>
    </row>
    <row r="522" spans="1:30" ht="63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64" t="s">
        <v>171</v>
      </c>
      <c r="S522" s="146" t="s">
        <v>38</v>
      </c>
      <c r="T522" s="41">
        <v>1</v>
      </c>
      <c r="U522" s="41">
        <v>2</v>
      </c>
      <c r="V522" s="41">
        <v>11</v>
      </c>
      <c r="W522" s="41">
        <v>12</v>
      </c>
      <c r="X522" s="41">
        <v>12</v>
      </c>
      <c r="Y522" s="41">
        <v>12</v>
      </c>
      <c r="Z522" s="41">
        <v>12</v>
      </c>
      <c r="AA522" s="52">
        <f t="shared" si="122"/>
        <v>62</v>
      </c>
      <c r="AB522" s="41">
        <v>2024</v>
      </c>
      <c r="AC522" s="33"/>
    </row>
    <row r="523" spans="1:30" ht="47.25" hidden="1" x14ac:dyDescent="0.25">
      <c r="A523" s="57" t="s">
        <v>18</v>
      </c>
      <c r="B523" s="57" t="s">
        <v>19</v>
      </c>
      <c r="C523" s="57" t="s">
        <v>20</v>
      </c>
      <c r="D523" s="57" t="s">
        <v>18</v>
      </c>
      <c r="E523" s="57" t="s">
        <v>24</v>
      </c>
      <c r="F523" s="57" t="s">
        <v>18</v>
      </c>
      <c r="G523" s="57" t="s">
        <v>21</v>
      </c>
      <c r="H523" s="57" t="s">
        <v>19</v>
      </c>
      <c r="I523" s="57" t="s">
        <v>24</v>
      </c>
      <c r="J523" s="57" t="s">
        <v>18</v>
      </c>
      <c r="K523" s="57" t="s">
        <v>18</v>
      </c>
      <c r="L523" s="57" t="s">
        <v>22</v>
      </c>
      <c r="M523" s="57" t="s">
        <v>18</v>
      </c>
      <c r="N523" s="57" t="s">
        <v>18</v>
      </c>
      <c r="O523" s="57" t="s">
        <v>18</v>
      </c>
      <c r="P523" s="57" t="s">
        <v>18</v>
      </c>
      <c r="Q523" s="57" t="s">
        <v>18</v>
      </c>
      <c r="R523" s="72" t="s">
        <v>319</v>
      </c>
      <c r="S523" s="61" t="s">
        <v>0</v>
      </c>
      <c r="T523" s="62">
        <v>0</v>
      </c>
      <c r="U523" s="62">
        <v>0</v>
      </c>
      <c r="V523" s="62">
        <v>0</v>
      </c>
      <c r="W523" s="62">
        <v>0</v>
      </c>
      <c r="X523" s="62">
        <v>0</v>
      </c>
      <c r="Y523" s="62">
        <v>0</v>
      </c>
      <c r="Z523" s="62">
        <v>0</v>
      </c>
      <c r="AA523" s="62">
        <f>T523+U523+V523+W523+X523+Y523</f>
        <v>0</v>
      </c>
      <c r="AB523" s="61">
        <v>2019</v>
      </c>
      <c r="AC523" s="33"/>
    </row>
    <row r="524" spans="1:30" ht="31.5" hidden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64" t="s">
        <v>180</v>
      </c>
      <c r="S524" s="146" t="s">
        <v>38</v>
      </c>
      <c r="T524" s="41">
        <v>0</v>
      </c>
      <c r="U524" s="41">
        <v>1</v>
      </c>
      <c r="V524" s="41">
        <v>0</v>
      </c>
      <c r="W524" s="41">
        <v>0</v>
      </c>
      <c r="X524" s="41">
        <v>0</v>
      </c>
      <c r="Y524" s="41">
        <v>0</v>
      </c>
      <c r="Z524" s="41">
        <v>0</v>
      </c>
      <c r="AA524" s="52">
        <v>1</v>
      </c>
      <c r="AB524" s="41">
        <v>2019</v>
      </c>
      <c r="AC524" s="33"/>
    </row>
    <row r="525" spans="1:30" ht="78.75" hidden="1" x14ac:dyDescent="0.25">
      <c r="A525" s="57" t="s">
        <v>18</v>
      </c>
      <c r="B525" s="57" t="s">
        <v>19</v>
      </c>
      <c r="C525" s="57" t="s">
        <v>20</v>
      </c>
      <c r="D525" s="57" t="s">
        <v>18</v>
      </c>
      <c r="E525" s="57" t="s">
        <v>24</v>
      </c>
      <c r="F525" s="57" t="s">
        <v>18</v>
      </c>
      <c r="G525" s="57" t="s">
        <v>21</v>
      </c>
      <c r="H525" s="57" t="s">
        <v>19</v>
      </c>
      <c r="I525" s="57" t="s">
        <v>24</v>
      </c>
      <c r="J525" s="57" t="s">
        <v>18</v>
      </c>
      <c r="K525" s="57" t="s">
        <v>18</v>
      </c>
      <c r="L525" s="57" t="s">
        <v>22</v>
      </c>
      <c r="M525" s="57" t="s">
        <v>18</v>
      </c>
      <c r="N525" s="57" t="s">
        <v>18</v>
      </c>
      <c r="O525" s="57" t="s">
        <v>18</v>
      </c>
      <c r="P525" s="57" t="s">
        <v>18</v>
      </c>
      <c r="Q525" s="57" t="s">
        <v>18</v>
      </c>
      <c r="R525" s="72" t="s">
        <v>320</v>
      </c>
      <c r="S525" s="61" t="s">
        <v>0</v>
      </c>
      <c r="T525" s="62">
        <v>0</v>
      </c>
      <c r="U525" s="62">
        <v>0</v>
      </c>
      <c r="V525" s="62">
        <v>0</v>
      </c>
      <c r="W525" s="62">
        <v>0</v>
      </c>
      <c r="X525" s="62">
        <v>0</v>
      </c>
      <c r="Y525" s="62">
        <v>0</v>
      </c>
      <c r="Z525" s="62">
        <v>0</v>
      </c>
      <c r="AA525" s="62">
        <f>T525+U525+V525+W525+X525+Y525</f>
        <v>0</v>
      </c>
      <c r="AB525" s="61">
        <v>2019</v>
      </c>
      <c r="AC525" s="33"/>
    </row>
    <row r="526" spans="1:30" s="75" customFormat="1" ht="33" hidden="1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40" t="s">
        <v>321</v>
      </c>
      <c r="S526" s="41" t="s">
        <v>38</v>
      </c>
      <c r="T526" s="41">
        <v>0</v>
      </c>
      <c r="U526" s="41">
        <v>1</v>
      </c>
      <c r="V526" s="41">
        <v>0</v>
      </c>
      <c r="W526" s="41">
        <v>0</v>
      </c>
      <c r="X526" s="41">
        <v>0</v>
      </c>
      <c r="Y526" s="41">
        <v>0</v>
      </c>
      <c r="Z526" s="41">
        <v>0</v>
      </c>
      <c r="AA526" s="52">
        <f>U526</f>
        <v>1</v>
      </c>
      <c r="AB526" s="41">
        <v>2019</v>
      </c>
      <c r="AC526" s="114"/>
    </row>
    <row r="527" spans="1:30" ht="82.9" customHeight="1" x14ac:dyDescent="0.25">
      <c r="A527" s="57" t="s">
        <v>18</v>
      </c>
      <c r="B527" s="57" t="s">
        <v>19</v>
      </c>
      <c r="C527" s="57" t="s">
        <v>20</v>
      </c>
      <c r="D527" s="57" t="s">
        <v>18</v>
      </c>
      <c r="E527" s="57" t="s">
        <v>24</v>
      </c>
      <c r="F527" s="57" t="s">
        <v>18</v>
      </c>
      <c r="G527" s="57" t="s">
        <v>21</v>
      </c>
      <c r="H527" s="57" t="s">
        <v>19</v>
      </c>
      <c r="I527" s="57" t="s">
        <v>24</v>
      </c>
      <c r="J527" s="57" t="s">
        <v>18</v>
      </c>
      <c r="K527" s="57" t="s">
        <v>18</v>
      </c>
      <c r="L527" s="57" t="s">
        <v>22</v>
      </c>
      <c r="M527" s="57" t="s">
        <v>19</v>
      </c>
      <c r="N527" s="57" t="s">
        <v>18</v>
      </c>
      <c r="O527" s="57" t="s">
        <v>21</v>
      </c>
      <c r="P527" s="57" t="s">
        <v>21</v>
      </c>
      <c r="Q527" s="57" t="s">
        <v>18</v>
      </c>
      <c r="R527" s="145" t="s">
        <v>333</v>
      </c>
      <c r="S527" s="61" t="s">
        <v>0</v>
      </c>
      <c r="T527" s="62">
        <v>0</v>
      </c>
      <c r="U527" s="62">
        <v>731.8</v>
      </c>
      <c r="V527" s="62">
        <v>0</v>
      </c>
      <c r="W527" s="62">
        <v>0</v>
      </c>
      <c r="X527" s="62">
        <v>0</v>
      </c>
      <c r="Y527" s="62">
        <v>0</v>
      </c>
      <c r="Z527" s="62">
        <v>0</v>
      </c>
      <c r="AA527" s="62">
        <f>T527+U527+V527+W527+X527+Y527</f>
        <v>731.8</v>
      </c>
      <c r="AB527" s="61">
        <v>2019</v>
      </c>
    </row>
    <row r="528" spans="1:30" s="75" customFormat="1" ht="31.5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40" t="s">
        <v>322</v>
      </c>
      <c r="S528" s="41" t="s">
        <v>50</v>
      </c>
      <c r="T528" s="44">
        <v>0</v>
      </c>
      <c r="U528" s="44">
        <v>347</v>
      </c>
      <c r="V528" s="44">
        <v>0</v>
      </c>
      <c r="W528" s="44">
        <v>0</v>
      </c>
      <c r="X528" s="44">
        <v>0</v>
      </c>
      <c r="Y528" s="44">
        <v>0</v>
      </c>
      <c r="Z528" s="44">
        <v>0</v>
      </c>
      <c r="AA528" s="52">
        <f>U528</f>
        <v>347</v>
      </c>
      <c r="AB528" s="76">
        <v>2019</v>
      </c>
      <c r="AC528" s="114"/>
    </row>
    <row r="529" spans="1:33" ht="47.25" x14ac:dyDescent="0.25">
      <c r="A529" s="57" t="s">
        <v>18</v>
      </c>
      <c r="B529" s="57" t="s">
        <v>19</v>
      </c>
      <c r="C529" s="57" t="s">
        <v>20</v>
      </c>
      <c r="D529" s="57" t="s">
        <v>18</v>
      </c>
      <c r="E529" s="57" t="s">
        <v>24</v>
      </c>
      <c r="F529" s="57" t="s">
        <v>18</v>
      </c>
      <c r="G529" s="57" t="s">
        <v>21</v>
      </c>
      <c r="H529" s="57" t="s">
        <v>19</v>
      </c>
      <c r="I529" s="57" t="s">
        <v>24</v>
      </c>
      <c r="J529" s="57" t="s">
        <v>18</v>
      </c>
      <c r="K529" s="57" t="s">
        <v>18</v>
      </c>
      <c r="L529" s="57" t="s">
        <v>22</v>
      </c>
      <c r="M529" s="57" t="s">
        <v>18</v>
      </c>
      <c r="N529" s="57" t="s">
        <v>18</v>
      </c>
      <c r="O529" s="57" t="s">
        <v>18</v>
      </c>
      <c r="P529" s="57" t="s">
        <v>18</v>
      </c>
      <c r="Q529" s="57" t="s">
        <v>18</v>
      </c>
      <c r="R529" s="72" t="s">
        <v>334</v>
      </c>
      <c r="S529" s="61" t="s">
        <v>0</v>
      </c>
      <c r="T529" s="62">
        <v>0</v>
      </c>
      <c r="U529" s="62">
        <v>6000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f>T529+U529+V529+W529+X529+Y529</f>
        <v>6000</v>
      </c>
      <c r="AB529" s="61">
        <v>2019</v>
      </c>
      <c r="AC529" s="33"/>
    </row>
    <row r="530" spans="1:33" s="75" customFormat="1" ht="47.25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336</v>
      </c>
      <c r="S530" s="41" t="s">
        <v>38</v>
      </c>
      <c r="T530" s="41">
        <v>0</v>
      </c>
      <c r="U530" s="41">
        <v>1</v>
      </c>
      <c r="V530" s="41">
        <v>0</v>
      </c>
      <c r="W530" s="41">
        <v>0</v>
      </c>
      <c r="X530" s="41">
        <v>0</v>
      </c>
      <c r="Y530" s="41">
        <v>0</v>
      </c>
      <c r="Z530" s="41">
        <v>0</v>
      </c>
      <c r="AA530" s="52">
        <f>U530</f>
        <v>1</v>
      </c>
      <c r="AB530" s="41">
        <v>2019</v>
      </c>
      <c r="AC530" s="114"/>
    </row>
    <row r="531" spans="1:33" ht="36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78" t="s">
        <v>54</v>
      </c>
      <c r="S531" s="48" t="s">
        <v>0</v>
      </c>
      <c r="T531" s="49">
        <f t="shared" ref="T531:Y531" si="123">T533+T539+T542</f>
        <v>25348.3</v>
      </c>
      <c r="U531" s="49">
        <f t="shared" si="123"/>
        <v>35592.6</v>
      </c>
      <c r="V531" s="49">
        <f t="shared" si="123"/>
        <v>25348.3</v>
      </c>
      <c r="W531" s="49">
        <f>W533+W539+W542</f>
        <v>21505.8</v>
      </c>
      <c r="X531" s="49">
        <v>21505.8</v>
      </c>
      <c r="Y531" s="49">
        <f t="shared" si="123"/>
        <v>31505.8</v>
      </c>
      <c r="Z531" s="49">
        <f t="shared" ref="Z531" si="124">Z533+Z539+Z542</f>
        <v>21505.8</v>
      </c>
      <c r="AA531" s="49">
        <f>SUM(T531:Z531)</f>
        <v>182312.4</v>
      </c>
      <c r="AB531" s="50">
        <v>2024</v>
      </c>
    </row>
    <row r="532" spans="1:33" ht="51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95" t="s">
        <v>172</v>
      </c>
      <c r="S532" s="146" t="s">
        <v>52</v>
      </c>
      <c r="T532" s="141">
        <f>T534</f>
        <v>2225</v>
      </c>
      <c r="U532" s="141">
        <f t="shared" ref="U532:AA532" si="125">U534</f>
        <v>2224</v>
      </c>
      <c r="V532" s="141">
        <f t="shared" si="125"/>
        <v>2224</v>
      </c>
      <c r="W532" s="141">
        <f t="shared" si="125"/>
        <v>2224</v>
      </c>
      <c r="X532" s="141">
        <f t="shared" si="125"/>
        <v>2224</v>
      </c>
      <c r="Y532" s="141">
        <f t="shared" si="125"/>
        <v>2224</v>
      </c>
      <c r="Z532" s="141">
        <f t="shared" ref="Z532" si="126">Z534</f>
        <v>2224</v>
      </c>
      <c r="AA532" s="142">
        <f t="shared" si="125"/>
        <v>2224</v>
      </c>
      <c r="AB532" s="41">
        <v>2024</v>
      </c>
      <c r="AD532" s="12"/>
      <c r="AE532" s="12"/>
      <c r="AF532" s="12"/>
      <c r="AG532" s="12"/>
    </row>
    <row r="533" spans="1:33" ht="42.6" customHeight="1" x14ac:dyDescent="0.25">
      <c r="A533" s="57" t="s">
        <v>18</v>
      </c>
      <c r="B533" s="57" t="s">
        <v>19</v>
      </c>
      <c r="C533" s="57" t="s">
        <v>20</v>
      </c>
      <c r="D533" s="57" t="s">
        <v>18</v>
      </c>
      <c r="E533" s="57" t="s">
        <v>21</v>
      </c>
      <c r="F533" s="57" t="s">
        <v>18</v>
      </c>
      <c r="G533" s="57" t="s">
        <v>22</v>
      </c>
      <c r="H533" s="57" t="s">
        <v>19</v>
      </c>
      <c r="I533" s="57" t="s">
        <v>24</v>
      </c>
      <c r="J533" s="57" t="s">
        <v>18</v>
      </c>
      <c r="K533" s="57" t="s">
        <v>18</v>
      </c>
      <c r="L533" s="57" t="s">
        <v>24</v>
      </c>
      <c r="M533" s="57" t="s">
        <v>18</v>
      </c>
      <c r="N533" s="57" t="s">
        <v>18</v>
      </c>
      <c r="O533" s="57" t="s">
        <v>18</v>
      </c>
      <c r="P533" s="57" t="s">
        <v>18</v>
      </c>
      <c r="Q533" s="57" t="s">
        <v>18</v>
      </c>
      <c r="R533" s="145" t="s">
        <v>173</v>
      </c>
      <c r="S533" s="61" t="s">
        <v>0</v>
      </c>
      <c r="T533" s="62">
        <v>25348.3</v>
      </c>
      <c r="U533" s="62">
        <f>23600+1311.8</f>
        <v>24911.8</v>
      </c>
      <c r="V533" s="62">
        <v>25348.3</v>
      </c>
      <c r="W533" s="62">
        <v>21505.8</v>
      </c>
      <c r="X533" s="62">
        <v>21505.8</v>
      </c>
      <c r="Y533" s="62">
        <v>21505.8</v>
      </c>
      <c r="Z533" s="62">
        <v>21505.8</v>
      </c>
      <c r="AA533" s="62">
        <f>SUM(T533:Z533)</f>
        <v>161631.59999999998</v>
      </c>
      <c r="AB533" s="61">
        <v>2024</v>
      </c>
      <c r="AC533" s="33"/>
    </row>
    <row r="534" spans="1:33" ht="45.6" customHeight="1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83" t="s">
        <v>174</v>
      </c>
      <c r="S534" s="146" t="s">
        <v>52</v>
      </c>
      <c r="T534" s="2">
        <v>2225</v>
      </c>
      <c r="U534" s="44">
        <v>2224</v>
      </c>
      <c r="V534" s="44">
        <v>2224</v>
      </c>
      <c r="W534" s="44">
        <v>2224</v>
      </c>
      <c r="X534" s="44">
        <v>2224</v>
      </c>
      <c r="Y534" s="44">
        <v>2224</v>
      </c>
      <c r="Z534" s="44">
        <v>2224</v>
      </c>
      <c r="AA534" s="45">
        <f>Z534</f>
        <v>2224</v>
      </c>
      <c r="AB534" s="41">
        <v>2024</v>
      </c>
      <c r="AC534" s="33"/>
    </row>
    <row r="535" spans="1:33" ht="31.5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64" t="s">
        <v>175</v>
      </c>
      <c r="S535" s="146" t="s">
        <v>53</v>
      </c>
      <c r="T535" s="2">
        <v>365</v>
      </c>
      <c r="U535" s="2">
        <v>365</v>
      </c>
      <c r="V535" s="44">
        <v>366</v>
      </c>
      <c r="W535" s="2">
        <v>365</v>
      </c>
      <c r="X535" s="2">
        <v>365</v>
      </c>
      <c r="Y535" s="2">
        <v>365</v>
      </c>
      <c r="Z535" s="2">
        <v>365</v>
      </c>
      <c r="AA535" s="45">
        <f>T535+U535+V535+W535+X535+Y535+Z535</f>
        <v>2556</v>
      </c>
      <c r="AB535" s="41">
        <v>2024</v>
      </c>
      <c r="AC535" s="33"/>
    </row>
    <row r="536" spans="1:33" ht="32.2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64" t="s">
        <v>176</v>
      </c>
      <c r="S536" s="146" t="s">
        <v>38</v>
      </c>
      <c r="T536" s="2">
        <v>4917</v>
      </c>
      <c r="U536" s="2">
        <v>5400</v>
      </c>
      <c r="V536" s="2">
        <v>4878</v>
      </c>
      <c r="W536" s="2">
        <v>4878</v>
      </c>
      <c r="X536" s="2">
        <v>4878</v>
      </c>
      <c r="Y536" s="2">
        <v>5400</v>
      </c>
      <c r="Z536" s="2">
        <v>5400</v>
      </c>
      <c r="AA536" s="45">
        <f t="shared" ref="AA536:AA538" si="127">T536+U536+V536+W536+X536+Y536+Z536</f>
        <v>35751</v>
      </c>
      <c r="AB536" s="41">
        <v>2024</v>
      </c>
      <c r="AC536" s="127"/>
      <c r="AD536" s="105"/>
    </row>
    <row r="537" spans="1:33" ht="47.25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64" t="s">
        <v>177</v>
      </c>
      <c r="S537" s="146" t="s">
        <v>38</v>
      </c>
      <c r="T537" s="2">
        <v>4598</v>
      </c>
      <c r="U537" s="44">
        <v>4558</v>
      </c>
      <c r="V537" s="2">
        <v>4558</v>
      </c>
      <c r="W537" s="2">
        <v>4558</v>
      </c>
      <c r="X537" s="2">
        <v>4558</v>
      </c>
      <c r="Y537" s="2">
        <v>4558</v>
      </c>
      <c r="Z537" s="2">
        <v>4558</v>
      </c>
      <c r="AA537" s="45">
        <f t="shared" si="127"/>
        <v>31946</v>
      </c>
      <c r="AB537" s="41">
        <v>2024</v>
      </c>
      <c r="AC537" s="127"/>
      <c r="AD537" s="105"/>
    </row>
    <row r="538" spans="1:33" ht="47.25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64" t="s">
        <v>178</v>
      </c>
      <c r="S538" s="146" t="s">
        <v>38</v>
      </c>
      <c r="T538" s="2">
        <v>488</v>
      </c>
      <c r="U538" s="2">
        <v>550</v>
      </c>
      <c r="V538" s="2">
        <v>490</v>
      </c>
      <c r="W538" s="2">
        <v>490</v>
      </c>
      <c r="X538" s="2">
        <v>490</v>
      </c>
      <c r="Y538" s="2">
        <v>550</v>
      </c>
      <c r="Z538" s="2">
        <v>550</v>
      </c>
      <c r="AA538" s="45">
        <f t="shared" si="127"/>
        <v>3608</v>
      </c>
      <c r="AB538" s="41">
        <v>2024</v>
      </c>
      <c r="AC538" s="127"/>
      <c r="AD538" s="105"/>
    </row>
    <row r="539" spans="1:33" ht="39.6" customHeight="1" x14ac:dyDescent="0.25">
      <c r="A539" s="57" t="s">
        <v>18</v>
      </c>
      <c r="B539" s="57" t="s">
        <v>19</v>
      </c>
      <c r="C539" s="57" t="s">
        <v>20</v>
      </c>
      <c r="D539" s="57" t="s">
        <v>18</v>
      </c>
      <c r="E539" s="57" t="s">
        <v>21</v>
      </c>
      <c r="F539" s="57" t="s">
        <v>18</v>
      </c>
      <c r="G539" s="57" t="s">
        <v>22</v>
      </c>
      <c r="H539" s="57" t="s">
        <v>19</v>
      </c>
      <c r="I539" s="57" t="s">
        <v>24</v>
      </c>
      <c r="J539" s="57" t="s">
        <v>18</v>
      </c>
      <c r="K539" s="57" t="s">
        <v>18</v>
      </c>
      <c r="L539" s="57" t="s">
        <v>24</v>
      </c>
      <c r="M539" s="57" t="s">
        <v>18</v>
      </c>
      <c r="N539" s="57" t="s">
        <v>18</v>
      </c>
      <c r="O539" s="57" t="s">
        <v>18</v>
      </c>
      <c r="P539" s="57" t="s">
        <v>18</v>
      </c>
      <c r="Q539" s="57" t="s">
        <v>19</v>
      </c>
      <c r="R539" s="145" t="s">
        <v>179</v>
      </c>
      <c r="S539" s="61" t="s">
        <v>0</v>
      </c>
      <c r="T539" s="62">
        <v>0</v>
      </c>
      <c r="U539" s="62">
        <f>4000-4000</f>
        <v>0</v>
      </c>
      <c r="V539" s="62">
        <v>0</v>
      </c>
      <c r="W539" s="62">
        <v>0</v>
      </c>
      <c r="X539" s="62">
        <v>0</v>
      </c>
      <c r="Y539" s="62">
        <v>10000</v>
      </c>
      <c r="Z539" s="62">
        <v>0</v>
      </c>
      <c r="AA539" s="62">
        <f>T539+U539+V539+W539+X539+Y539</f>
        <v>10000</v>
      </c>
      <c r="AB539" s="61">
        <v>2023</v>
      </c>
      <c r="AC539" s="33"/>
      <c r="AD539" s="105"/>
    </row>
    <row r="540" spans="1:33" ht="33.6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40" t="s">
        <v>291</v>
      </c>
      <c r="S540" s="41" t="s">
        <v>38</v>
      </c>
      <c r="T540" s="44">
        <v>0</v>
      </c>
      <c r="U540" s="44">
        <v>0</v>
      </c>
      <c r="V540" s="44">
        <v>0</v>
      </c>
      <c r="W540" s="44">
        <v>0</v>
      </c>
      <c r="X540" s="44">
        <v>0</v>
      </c>
      <c r="Y540" s="44">
        <v>1</v>
      </c>
      <c r="Z540" s="44">
        <v>0</v>
      </c>
      <c r="AA540" s="52">
        <v>1</v>
      </c>
      <c r="AB540" s="41">
        <v>2023</v>
      </c>
      <c r="AC540" s="33"/>
      <c r="AD540" s="107"/>
      <c r="AE540" s="107"/>
    </row>
    <row r="541" spans="1:33" ht="31.5" x14ac:dyDescent="0.25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40" t="s">
        <v>81</v>
      </c>
      <c r="S541" s="98" t="s">
        <v>9</v>
      </c>
      <c r="T541" s="44">
        <v>0</v>
      </c>
      <c r="U541" s="44">
        <v>0</v>
      </c>
      <c r="V541" s="44">
        <v>0</v>
      </c>
      <c r="W541" s="44">
        <v>0</v>
      </c>
      <c r="X541" s="44">
        <v>0</v>
      </c>
      <c r="Y541" s="44">
        <v>100</v>
      </c>
      <c r="Z541" s="44">
        <v>0</v>
      </c>
      <c r="AA541" s="52">
        <v>100</v>
      </c>
      <c r="AB541" s="41">
        <v>2023</v>
      </c>
      <c r="AC541" s="33"/>
    </row>
    <row r="542" spans="1:33" ht="36" customHeight="1" x14ac:dyDescent="0.25">
      <c r="A542" s="57" t="s">
        <v>18</v>
      </c>
      <c r="B542" s="57" t="s">
        <v>19</v>
      </c>
      <c r="C542" s="57" t="s">
        <v>20</v>
      </c>
      <c r="D542" s="57" t="s">
        <v>18</v>
      </c>
      <c r="E542" s="57" t="s">
        <v>21</v>
      </c>
      <c r="F542" s="57" t="s">
        <v>18</v>
      </c>
      <c r="G542" s="57" t="s">
        <v>22</v>
      </c>
      <c r="H542" s="57" t="s">
        <v>19</v>
      </c>
      <c r="I542" s="57" t="s">
        <v>24</v>
      </c>
      <c r="J542" s="57" t="s">
        <v>18</v>
      </c>
      <c r="K542" s="57" t="s">
        <v>18</v>
      </c>
      <c r="L542" s="57" t="s">
        <v>24</v>
      </c>
      <c r="M542" s="57" t="s">
        <v>18</v>
      </c>
      <c r="N542" s="57" t="s">
        <v>18</v>
      </c>
      <c r="O542" s="57" t="s">
        <v>18</v>
      </c>
      <c r="P542" s="57" t="s">
        <v>18</v>
      </c>
      <c r="Q542" s="57" t="s">
        <v>18</v>
      </c>
      <c r="R542" s="145" t="s">
        <v>339</v>
      </c>
      <c r="S542" s="61" t="s">
        <v>0</v>
      </c>
      <c r="T542" s="62">
        <v>0</v>
      </c>
      <c r="U542" s="62">
        <f>10680+0.8</f>
        <v>10680.8</v>
      </c>
      <c r="V542" s="62">
        <v>0</v>
      </c>
      <c r="W542" s="62">
        <v>0</v>
      </c>
      <c r="X542" s="62">
        <v>0</v>
      </c>
      <c r="Y542" s="62">
        <v>0</v>
      </c>
      <c r="Z542" s="62">
        <v>0</v>
      </c>
      <c r="AA542" s="62">
        <f>T542+U542+V542+W542+X542+Y542</f>
        <v>10680.8</v>
      </c>
      <c r="AB542" s="61">
        <v>2019</v>
      </c>
      <c r="AC542" s="33"/>
      <c r="AD542" s="105"/>
    </row>
    <row r="543" spans="1:33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0" t="s">
        <v>292</v>
      </c>
      <c r="S543" s="41" t="s">
        <v>38</v>
      </c>
      <c r="T543" s="44">
        <v>0</v>
      </c>
      <c r="U543" s="44">
        <v>7300</v>
      </c>
      <c r="V543" s="44">
        <v>0</v>
      </c>
      <c r="W543" s="44">
        <v>0</v>
      </c>
      <c r="X543" s="44">
        <v>0</v>
      </c>
      <c r="Y543" s="44">
        <v>0</v>
      </c>
      <c r="Z543" s="44">
        <v>0</v>
      </c>
      <c r="AA543" s="52">
        <f>U543</f>
        <v>7300</v>
      </c>
      <c r="AB543" s="41">
        <v>2019</v>
      </c>
      <c r="AC543" s="33"/>
      <c r="AD543" s="107"/>
      <c r="AE543" s="107"/>
    </row>
    <row r="544" spans="1:33" x14ac:dyDescent="0.25">
      <c r="AB544" s="148" t="s">
        <v>58</v>
      </c>
    </row>
    <row r="545" spans="1:28" ht="31.15" customHeight="1" x14ac:dyDescent="0.25"/>
    <row r="546" spans="1:28" ht="40.15" customHeight="1" x14ac:dyDescent="0.25">
      <c r="A546" s="151" t="s">
        <v>348</v>
      </c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  <c r="AA546" s="151"/>
      <c r="AB546" s="151"/>
    </row>
  </sheetData>
  <mergeCells count="75">
    <mergeCell ref="A1:AB1"/>
    <mergeCell ref="A3:AB3"/>
    <mergeCell ref="A6:AB6"/>
    <mergeCell ref="A7:AB7"/>
    <mergeCell ref="A8:AB8"/>
    <mergeCell ref="A5:AB5"/>
    <mergeCell ref="X9:AB9"/>
    <mergeCell ref="A10:AB10"/>
    <mergeCell ref="A11:AB11"/>
    <mergeCell ref="A12:AB12"/>
    <mergeCell ref="A14:Q14"/>
    <mergeCell ref="R14:R15"/>
    <mergeCell ref="S14:S15"/>
    <mergeCell ref="AA14:AB14"/>
    <mergeCell ref="A15:C15"/>
    <mergeCell ref="D15:E15"/>
    <mergeCell ref="F15:G15"/>
    <mergeCell ref="H15:Q15"/>
    <mergeCell ref="T14:Z14"/>
    <mergeCell ref="R41:R45"/>
    <mergeCell ref="R50:R53"/>
    <mergeCell ref="R162:R164"/>
    <mergeCell ref="R169:R172"/>
    <mergeCell ref="R176:R179"/>
    <mergeCell ref="R129:R133"/>
    <mergeCell ref="R71:R74"/>
    <mergeCell ref="R183:R186"/>
    <mergeCell ref="R190:R193"/>
    <mergeCell ref="R197:R200"/>
    <mergeCell ref="R208:R213"/>
    <mergeCell ref="R217:R220"/>
    <mergeCell ref="R222:R225"/>
    <mergeCell ref="R227:R231"/>
    <mergeCell ref="R233:R237"/>
    <mergeCell ref="R239:R243"/>
    <mergeCell ref="R246:R250"/>
    <mergeCell ref="R261:R265"/>
    <mergeCell ref="R267:R270"/>
    <mergeCell ref="R272:R275"/>
    <mergeCell ref="R277:R280"/>
    <mergeCell ref="R252:R258"/>
    <mergeCell ref="R282:R285"/>
    <mergeCell ref="R287:R290"/>
    <mergeCell ref="R302:R306"/>
    <mergeCell ref="R308:R313"/>
    <mergeCell ref="R292:R299"/>
    <mergeCell ref="R315:R320"/>
    <mergeCell ref="R322:R327"/>
    <mergeCell ref="R329:R334"/>
    <mergeCell ref="R336:R341"/>
    <mergeCell ref="R422:R425"/>
    <mergeCell ref="R343:R348"/>
    <mergeCell ref="R350:R355"/>
    <mergeCell ref="R357:R362"/>
    <mergeCell ref="R364:R368"/>
    <mergeCell ref="R370:R374"/>
    <mergeCell ref="R376:R381"/>
    <mergeCell ref="R392:R396"/>
    <mergeCell ref="R398:R402"/>
    <mergeCell ref="R404:R408"/>
    <mergeCell ref="R410:R414"/>
    <mergeCell ref="R383:R388"/>
    <mergeCell ref="R416:R420"/>
    <mergeCell ref="R491:R492"/>
    <mergeCell ref="R494:R495"/>
    <mergeCell ref="A546:AB546"/>
    <mergeCell ref="R497:R498"/>
    <mergeCell ref="R500:R501"/>
    <mergeCell ref="R503:R504"/>
    <mergeCell ref="R427:R431"/>
    <mergeCell ref="R433:R437"/>
    <mergeCell ref="R439:R443"/>
    <mergeCell ref="R445:R449"/>
    <mergeCell ref="R451:R455"/>
    <mergeCell ref="R508:R510"/>
  </mergeCells>
  <pageMargins left="0.35433070866141736" right="0.31496062992125984" top="0.59055118110236227" bottom="0.60629921259842523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2020-02-17T13:14:19Z</dcterms:modified>
</cp:coreProperties>
</file>